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585" yWindow="-45" windowWidth="10215" windowHeight="14820" activeTab="1"/>
  </bookViews>
  <sheets>
    <sheet name="notes &amp; reference list" sheetId="16" r:id="rId1"/>
    <sheet name="proxy" sheetId="21" r:id="rId2"/>
  </sheets>
  <calcPr calcId="145621" iterate="1" concurrentCalc="0"/>
</workbook>
</file>

<file path=xl/calcChain.xml><?xml version="1.0" encoding="utf-8"?>
<calcChain xmlns="http://schemas.openxmlformats.org/spreadsheetml/2006/main">
  <c r="AB1" i="21" l="1"/>
  <c r="BI1" i="21"/>
  <c r="U1" i="21"/>
  <c r="T5" i="21"/>
  <c r="T6" i="21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T35" i="21"/>
  <c r="T36" i="21"/>
  <c r="T37" i="21"/>
  <c r="T4" i="21"/>
  <c r="C326" i="21"/>
  <c r="I326" i="21"/>
  <c r="F326" i="21"/>
  <c r="BD5" i="21"/>
  <c r="AR5" i="21"/>
  <c r="AR6" i="21"/>
  <c r="AR7" i="21"/>
  <c r="AR8" i="21"/>
  <c r="AR9" i="21"/>
  <c r="AR10" i="21"/>
  <c r="AR11" i="21"/>
  <c r="AR12" i="21"/>
  <c r="AR13" i="21"/>
  <c r="AR14" i="21"/>
  <c r="AR15" i="21"/>
  <c r="AR16" i="21"/>
  <c r="AR17" i="21"/>
  <c r="AC5" i="21"/>
  <c r="AC6" i="21"/>
  <c r="AC7" i="21"/>
  <c r="AC8" i="21"/>
  <c r="Z9" i="21"/>
  <c r="AC9" i="21"/>
  <c r="AC10" i="21"/>
  <c r="AC11" i="21"/>
  <c r="AC12" i="21"/>
  <c r="Z13" i="21"/>
  <c r="Z14" i="21"/>
  <c r="Z15" i="21"/>
  <c r="Z16" i="21"/>
  <c r="Z17" i="21"/>
  <c r="AE17" i="21"/>
  <c r="AC17" i="21"/>
  <c r="Z18" i="21"/>
  <c r="AE18" i="21"/>
  <c r="AC18" i="21"/>
  <c r="Z19" i="21"/>
  <c r="AE19" i="21"/>
  <c r="AC19" i="21"/>
  <c r="Z20" i="21"/>
  <c r="AE20" i="21"/>
  <c r="AC20" i="21"/>
  <c r="Z21" i="21"/>
  <c r="AE21" i="21"/>
  <c r="AC21" i="21"/>
  <c r="Z22" i="21"/>
  <c r="AD22" i="21"/>
  <c r="AE22" i="21"/>
  <c r="AC22" i="21"/>
  <c r="AD23" i="21"/>
  <c r="AE23" i="21"/>
  <c r="AC23" i="21"/>
  <c r="Z24" i="21"/>
  <c r="AD24" i="21"/>
  <c r="AE24" i="21"/>
  <c r="AC24" i="21"/>
  <c r="Z25" i="21"/>
  <c r="Z26" i="21"/>
  <c r="Z27" i="21"/>
  <c r="Z28" i="21"/>
  <c r="AE28" i="21"/>
  <c r="AC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48" i="21"/>
  <c r="Z49" i="21"/>
  <c r="Z50" i="21"/>
  <c r="Z51" i="21"/>
  <c r="Z52" i="21"/>
  <c r="Z53" i="21"/>
  <c r="Z54" i="21"/>
  <c r="Z55" i="21"/>
  <c r="Z56" i="21"/>
  <c r="Z57" i="21"/>
  <c r="Z58" i="21"/>
  <c r="Z59" i="21"/>
  <c r="Z60" i="21"/>
  <c r="Z61" i="21"/>
  <c r="Z62" i="21"/>
  <c r="Z63" i="21"/>
  <c r="Z64" i="21"/>
  <c r="Z65" i="21"/>
  <c r="Z66" i="21"/>
  <c r="Z67" i="21"/>
  <c r="Z68" i="21"/>
  <c r="Z69" i="21"/>
  <c r="Z70" i="21"/>
  <c r="Z71" i="21"/>
  <c r="Z72" i="21"/>
  <c r="Z73" i="21"/>
  <c r="Z74" i="21"/>
  <c r="Z75" i="21"/>
  <c r="Z76" i="21"/>
  <c r="Z77" i="21"/>
  <c r="Z78" i="21"/>
  <c r="Z80" i="21"/>
  <c r="Z81" i="21"/>
  <c r="Z83" i="21"/>
  <c r="Z84" i="21"/>
  <c r="Z85" i="21"/>
  <c r="AD85" i="21"/>
  <c r="AE85" i="21"/>
  <c r="AC85" i="21"/>
  <c r="Z86" i="21"/>
  <c r="Z93" i="21"/>
  <c r="Z94" i="21"/>
  <c r="Z95" i="21"/>
  <c r="Z96" i="21"/>
  <c r="Z97" i="21"/>
  <c r="Z98" i="21"/>
  <c r="Z99" i="21"/>
  <c r="Z100" i="21"/>
  <c r="Z101" i="21"/>
  <c r="Z102" i="21"/>
  <c r="AE102" i="21"/>
  <c r="AC102" i="21"/>
  <c r="Z103" i="21"/>
  <c r="AE103" i="21"/>
  <c r="AC103" i="21"/>
  <c r="Z104" i="21"/>
  <c r="AE104" i="21"/>
  <c r="AC104" i="21"/>
  <c r="Z105" i="21"/>
  <c r="AE105" i="21"/>
  <c r="AC105" i="21"/>
  <c r="Z106" i="21"/>
  <c r="AE106" i="21"/>
  <c r="AC106" i="21"/>
  <c r="Z107" i="21"/>
  <c r="AE107" i="21"/>
  <c r="AC107" i="21"/>
  <c r="Z108" i="21"/>
  <c r="AE108" i="21"/>
  <c r="AC108" i="21"/>
  <c r="Z109" i="21"/>
  <c r="Z110" i="21"/>
  <c r="Z111" i="21"/>
  <c r="Z112" i="21"/>
  <c r="Z113" i="21"/>
  <c r="Z114" i="21"/>
  <c r="Z115" i="21"/>
  <c r="Z116" i="21"/>
  <c r="Z117" i="21"/>
  <c r="Z118" i="21"/>
  <c r="Z119" i="21"/>
  <c r="Z120" i="21"/>
  <c r="Z121" i="21"/>
  <c r="Z122" i="21"/>
  <c r="Z123" i="21"/>
  <c r="Z124" i="21"/>
  <c r="Z125" i="21"/>
  <c r="Z126" i="21"/>
  <c r="Z136" i="21"/>
  <c r="AD136" i="21"/>
  <c r="AC136" i="21"/>
  <c r="Z137" i="21"/>
  <c r="AD137" i="21"/>
  <c r="AC137" i="21"/>
  <c r="Z138" i="21"/>
  <c r="AD138" i="21"/>
  <c r="AC138" i="21"/>
  <c r="Z139" i="21"/>
  <c r="AD139" i="21"/>
  <c r="AC139" i="21"/>
  <c r="Z140" i="21"/>
  <c r="AD140" i="21"/>
  <c r="AC140" i="21"/>
  <c r="Z141" i="21"/>
  <c r="AD141" i="21"/>
  <c r="AC141" i="21"/>
  <c r="Z142" i="21"/>
  <c r="AD142" i="21"/>
  <c r="AC142" i="21"/>
  <c r="Z143" i="21"/>
  <c r="AD143" i="21"/>
  <c r="AC143" i="21"/>
  <c r="Z144" i="21"/>
  <c r="AD144" i="21"/>
  <c r="AC144" i="21"/>
  <c r="Z145" i="21"/>
  <c r="AD145" i="21"/>
  <c r="AC145" i="21"/>
  <c r="Z146" i="21"/>
  <c r="AD146" i="21"/>
  <c r="AC146" i="21"/>
  <c r="Z147" i="21"/>
  <c r="AD147" i="21"/>
  <c r="AC147" i="21"/>
  <c r="Z148" i="21"/>
  <c r="AD148" i="21"/>
  <c r="AC148" i="21"/>
  <c r="Z149" i="21"/>
  <c r="AD149" i="21"/>
  <c r="AC149" i="21"/>
  <c r="Z150" i="21"/>
  <c r="AD150" i="21"/>
  <c r="AC150" i="21"/>
  <c r="Z151" i="21"/>
  <c r="AD151" i="21"/>
  <c r="AC151" i="21"/>
  <c r="Z152" i="21"/>
  <c r="Z153" i="21"/>
  <c r="Z154" i="21"/>
  <c r="Z155" i="21"/>
  <c r="Z156" i="21"/>
  <c r="Z157" i="21"/>
  <c r="Z158" i="21"/>
  <c r="Z159" i="21"/>
  <c r="Z160" i="21"/>
  <c r="Z161" i="21"/>
  <c r="Z162" i="21"/>
  <c r="Z163" i="21"/>
  <c r="Z164" i="21"/>
  <c r="Z165" i="21"/>
  <c r="Z166" i="21"/>
  <c r="Z167" i="21"/>
  <c r="Z168" i="21"/>
  <c r="Z169" i="21"/>
  <c r="AD169" i="21"/>
  <c r="AC169" i="21"/>
  <c r="Z170" i="21"/>
  <c r="AD170" i="21"/>
  <c r="AC170" i="21"/>
  <c r="Z171" i="21"/>
  <c r="AD171" i="21"/>
  <c r="AC171" i="21"/>
  <c r="Z172" i="21"/>
  <c r="AD172" i="21"/>
  <c r="AC172" i="21"/>
  <c r="Z173" i="21"/>
  <c r="AD173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Z194" i="21"/>
  <c r="AC194" i="21"/>
  <c r="Z196" i="21"/>
  <c r="Z197" i="21"/>
  <c r="Z198" i="21"/>
  <c r="Z200" i="21"/>
  <c r="Z201" i="21"/>
  <c r="Z202" i="21"/>
  <c r="Z203" i="21"/>
  <c r="Z204" i="21"/>
  <c r="Z205" i="21"/>
  <c r="Z207" i="21"/>
  <c r="Z208" i="21"/>
  <c r="Z209" i="21"/>
  <c r="Z210" i="21"/>
  <c r="Z211" i="21"/>
  <c r="Z212" i="21"/>
  <c r="Z213" i="21"/>
  <c r="Z214" i="21"/>
  <c r="Z215" i="21"/>
  <c r="AC215" i="21"/>
  <c r="Z216" i="21"/>
  <c r="AC216" i="21"/>
  <c r="Z217" i="21"/>
  <c r="AC217" i="21"/>
  <c r="Z218" i="21"/>
  <c r="AC218" i="21"/>
  <c r="Z219" i="21"/>
  <c r="AC219" i="21"/>
  <c r="Z220" i="21"/>
  <c r="AC220" i="21"/>
  <c r="AC221" i="21"/>
  <c r="AC222" i="21"/>
  <c r="AC223" i="21"/>
  <c r="AC224" i="21"/>
  <c r="F5" i="21"/>
  <c r="C6" i="21"/>
  <c r="F6" i="21"/>
  <c r="C7" i="21"/>
  <c r="F7" i="21"/>
  <c r="C8" i="21"/>
  <c r="F8" i="21"/>
  <c r="F9" i="21"/>
  <c r="C10" i="21"/>
  <c r="F10" i="21"/>
  <c r="C11" i="21"/>
  <c r="F11" i="21"/>
  <c r="C12" i="21"/>
  <c r="F12" i="21"/>
  <c r="C13" i="21"/>
  <c r="F13" i="21"/>
  <c r="C14" i="21"/>
  <c r="F14" i="21"/>
  <c r="F15" i="21"/>
  <c r="F16" i="21"/>
  <c r="C17" i="21"/>
  <c r="F17" i="21"/>
  <c r="C18" i="21"/>
  <c r="F18" i="21"/>
  <c r="F19" i="21"/>
  <c r="C20" i="21"/>
  <c r="F20" i="21"/>
  <c r="C21" i="21"/>
  <c r="F21" i="21"/>
  <c r="F22" i="21"/>
  <c r="F23" i="21"/>
  <c r="C24" i="21"/>
  <c r="F24" i="21"/>
  <c r="F25" i="21"/>
  <c r="F26" i="21"/>
  <c r="F27" i="21"/>
  <c r="F28" i="21"/>
  <c r="C29" i="21"/>
  <c r="F29" i="21"/>
  <c r="C30" i="21"/>
  <c r="F30" i="21"/>
  <c r="C31" i="21"/>
  <c r="F31" i="21"/>
  <c r="C32" i="21"/>
  <c r="F32" i="21"/>
  <c r="C33" i="21"/>
  <c r="F33" i="21"/>
  <c r="C34" i="21"/>
  <c r="F34" i="21"/>
  <c r="C35" i="21"/>
  <c r="F35" i="21"/>
  <c r="C36" i="21"/>
  <c r="F36" i="21"/>
  <c r="C37" i="21"/>
  <c r="F37" i="21"/>
  <c r="F38" i="21"/>
  <c r="F39" i="21"/>
  <c r="C40" i="21"/>
  <c r="F40" i="21"/>
  <c r="F41" i="21"/>
  <c r="E42" i="21"/>
  <c r="C42" i="21"/>
  <c r="F42" i="21"/>
  <c r="C43" i="21"/>
  <c r="F43" i="21"/>
  <c r="C44" i="21"/>
  <c r="F44" i="21"/>
  <c r="C45" i="21"/>
  <c r="F45" i="21"/>
  <c r="C46" i="21"/>
  <c r="F46" i="21"/>
  <c r="C47" i="21"/>
  <c r="F47" i="21"/>
  <c r="C48" i="21"/>
  <c r="F48" i="21"/>
  <c r="C49" i="21"/>
  <c r="F49" i="21"/>
  <c r="C50" i="21"/>
  <c r="F50" i="21"/>
  <c r="C51" i="21"/>
  <c r="F51" i="21"/>
  <c r="C52" i="21"/>
  <c r="F52" i="21"/>
  <c r="C53" i="21"/>
  <c r="F53" i="21"/>
  <c r="C54" i="21"/>
  <c r="F54" i="21"/>
  <c r="C55" i="21"/>
  <c r="F55" i="21"/>
  <c r="C56" i="21"/>
  <c r="F56" i="21"/>
  <c r="C57" i="21"/>
  <c r="F57" i="21"/>
  <c r="C58" i="21"/>
  <c r="F58" i="21"/>
  <c r="C59" i="21"/>
  <c r="F59" i="21"/>
  <c r="C60" i="21"/>
  <c r="F60" i="21"/>
  <c r="C61" i="21"/>
  <c r="F61" i="21"/>
  <c r="C62" i="21"/>
  <c r="F62" i="21"/>
  <c r="C63" i="21"/>
  <c r="F63" i="21"/>
  <c r="C64" i="21"/>
  <c r="F64" i="21"/>
  <c r="C65" i="21"/>
  <c r="F65" i="21"/>
  <c r="C66" i="21"/>
  <c r="F66" i="21"/>
  <c r="C67" i="21"/>
  <c r="F67" i="21"/>
  <c r="C68" i="21"/>
  <c r="F68" i="21"/>
  <c r="C69" i="21"/>
  <c r="F69" i="21"/>
  <c r="C70" i="21"/>
  <c r="F70" i="21"/>
  <c r="C71" i="21"/>
  <c r="F71" i="21"/>
  <c r="C72" i="21"/>
  <c r="F72" i="21"/>
  <c r="C73" i="21"/>
  <c r="F73" i="21"/>
  <c r="C74" i="21"/>
  <c r="F74" i="21"/>
  <c r="C75" i="21"/>
  <c r="F75" i="21"/>
  <c r="C76" i="21"/>
  <c r="F76" i="21"/>
  <c r="C77" i="21"/>
  <c r="F77" i="21"/>
  <c r="C78" i="21"/>
  <c r="F78" i="21"/>
  <c r="C79" i="21"/>
  <c r="F79" i="21"/>
  <c r="C80" i="21"/>
  <c r="F80" i="21"/>
  <c r="C81" i="21"/>
  <c r="F81" i="21"/>
  <c r="E82" i="21"/>
  <c r="C82" i="21"/>
  <c r="F82" i="21"/>
  <c r="E83" i="21"/>
  <c r="C83" i="21"/>
  <c r="F83" i="21"/>
  <c r="C84" i="21"/>
  <c r="F84" i="21"/>
  <c r="C85" i="21"/>
  <c r="F85" i="21"/>
  <c r="C86" i="21"/>
  <c r="F86" i="21"/>
  <c r="C87" i="21"/>
  <c r="F87" i="21"/>
  <c r="C88" i="21"/>
  <c r="F88" i="21"/>
  <c r="C89" i="21"/>
  <c r="F89" i="21"/>
  <c r="C90" i="21"/>
  <c r="F90" i="21"/>
  <c r="C91" i="21"/>
  <c r="F91" i="21"/>
  <c r="C92" i="21"/>
  <c r="F92" i="21"/>
  <c r="C93" i="21"/>
  <c r="F93" i="21"/>
  <c r="C94" i="21"/>
  <c r="F94" i="21"/>
  <c r="C95" i="21"/>
  <c r="F95" i="21"/>
  <c r="C96" i="21"/>
  <c r="F96" i="21"/>
  <c r="C97" i="21"/>
  <c r="F97" i="21"/>
  <c r="C98" i="21"/>
  <c r="F98" i="21"/>
  <c r="C99" i="21"/>
  <c r="F99" i="21"/>
  <c r="C100" i="21"/>
  <c r="F100" i="21"/>
  <c r="C101" i="21"/>
  <c r="F101" i="21"/>
  <c r="C102" i="21"/>
  <c r="F102" i="21"/>
  <c r="C103" i="21"/>
  <c r="F103" i="21"/>
  <c r="C104" i="21"/>
  <c r="F104" i="21"/>
  <c r="C105" i="21"/>
  <c r="F105" i="21"/>
  <c r="C106" i="21"/>
  <c r="F106" i="21"/>
  <c r="C107" i="21"/>
  <c r="F107" i="21"/>
  <c r="C108" i="21"/>
  <c r="F108" i="21"/>
  <c r="C109" i="21"/>
  <c r="F109" i="21"/>
  <c r="C110" i="21"/>
  <c r="F110" i="21"/>
  <c r="C111" i="21"/>
  <c r="F111" i="21"/>
  <c r="C112" i="21"/>
  <c r="F112" i="21"/>
  <c r="C113" i="21"/>
  <c r="F113" i="21"/>
  <c r="C114" i="21"/>
  <c r="F114" i="21"/>
  <c r="C115" i="21"/>
  <c r="F115" i="21"/>
  <c r="C116" i="21"/>
  <c r="F116" i="21"/>
  <c r="C117" i="21"/>
  <c r="F117" i="21"/>
  <c r="C118" i="21"/>
  <c r="F118" i="21"/>
  <c r="C119" i="21"/>
  <c r="F119" i="21"/>
  <c r="C120" i="21"/>
  <c r="F120" i="21"/>
  <c r="C121" i="21"/>
  <c r="F121" i="21"/>
  <c r="C122" i="21"/>
  <c r="F122" i="21"/>
  <c r="C123" i="21"/>
  <c r="F123" i="21"/>
  <c r="C124" i="21"/>
  <c r="F124" i="21"/>
  <c r="C125" i="21"/>
  <c r="F125" i="21"/>
  <c r="C126" i="21"/>
  <c r="F126" i="21"/>
  <c r="C127" i="21"/>
  <c r="F127" i="21"/>
  <c r="C128" i="21"/>
  <c r="F128" i="21"/>
  <c r="C129" i="21"/>
  <c r="F129" i="21"/>
  <c r="C130" i="21"/>
  <c r="F130" i="21"/>
  <c r="C131" i="21"/>
  <c r="F131" i="21"/>
  <c r="C132" i="21"/>
  <c r="F132" i="21"/>
  <c r="C133" i="21"/>
  <c r="F133" i="21"/>
  <c r="C134" i="21"/>
  <c r="F134" i="21"/>
  <c r="C135" i="21"/>
  <c r="F135" i="21"/>
  <c r="C136" i="21"/>
  <c r="I136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C166" i="21"/>
  <c r="F166" i="21"/>
  <c r="C167" i="21"/>
  <c r="F167" i="21"/>
  <c r="C168" i="21"/>
  <c r="F168" i="21"/>
  <c r="C169" i="21"/>
  <c r="F169" i="21"/>
  <c r="C170" i="21"/>
  <c r="F170" i="21"/>
  <c r="C171" i="21"/>
  <c r="F171" i="21"/>
  <c r="C172" i="21"/>
  <c r="F172" i="21"/>
  <c r="C173" i="21"/>
  <c r="F173" i="21"/>
  <c r="C174" i="21"/>
  <c r="F174" i="21"/>
  <c r="C175" i="21"/>
  <c r="F175" i="21"/>
  <c r="C176" i="21"/>
  <c r="F176" i="21"/>
  <c r="C177" i="21"/>
  <c r="F177" i="21"/>
  <c r="C178" i="21"/>
  <c r="F178" i="21"/>
  <c r="C179" i="21"/>
  <c r="F179" i="21"/>
  <c r="C180" i="21"/>
  <c r="F180" i="21"/>
  <c r="C181" i="21"/>
  <c r="F181" i="21"/>
  <c r="C182" i="21"/>
  <c r="F182" i="21"/>
  <c r="C183" i="21"/>
  <c r="F183" i="21"/>
  <c r="C184" i="21"/>
  <c r="F184" i="21"/>
  <c r="C185" i="21"/>
  <c r="F185" i="21"/>
  <c r="D186" i="21"/>
  <c r="E186" i="21"/>
  <c r="C186" i="21"/>
  <c r="F186" i="21"/>
  <c r="D187" i="21"/>
  <c r="E187" i="21"/>
  <c r="C187" i="21"/>
  <c r="F187" i="21"/>
  <c r="D188" i="21"/>
  <c r="E188" i="21"/>
  <c r="C188" i="21"/>
  <c r="F188" i="21"/>
  <c r="D189" i="21"/>
  <c r="E189" i="21"/>
  <c r="C189" i="21"/>
  <c r="F189" i="21"/>
  <c r="D190" i="21"/>
  <c r="E190" i="21"/>
  <c r="C190" i="21"/>
  <c r="F190" i="21"/>
  <c r="D191" i="21"/>
  <c r="E191" i="21"/>
  <c r="C191" i="21"/>
  <c r="F191" i="21"/>
  <c r="D192" i="21"/>
  <c r="E192" i="21"/>
  <c r="C192" i="21"/>
  <c r="F192" i="21"/>
  <c r="D193" i="21"/>
  <c r="E193" i="21"/>
  <c r="C193" i="21"/>
  <c r="F193" i="21"/>
  <c r="D194" i="21"/>
  <c r="E194" i="21"/>
  <c r="C194" i="21"/>
  <c r="F194" i="21"/>
  <c r="D195" i="21"/>
  <c r="E195" i="21"/>
  <c r="C195" i="21"/>
  <c r="F195" i="21"/>
  <c r="D196" i="21"/>
  <c r="E196" i="21"/>
  <c r="C196" i="21"/>
  <c r="F196" i="21"/>
  <c r="D197" i="21"/>
  <c r="E197" i="21"/>
  <c r="C197" i="21"/>
  <c r="F197" i="21"/>
  <c r="D198" i="21"/>
  <c r="E198" i="21"/>
  <c r="C198" i="21"/>
  <c r="F198" i="21"/>
  <c r="D199" i="21"/>
  <c r="E199" i="21"/>
  <c r="C199" i="21"/>
  <c r="F199" i="21"/>
  <c r="D200" i="21"/>
  <c r="E200" i="21"/>
  <c r="C200" i="21"/>
  <c r="F200" i="21"/>
  <c r="D201" i="21"/>
  <c r="E201" i="21"/>
  <c r="C201" i="21"/>
  <c r="F201" i="21"/>
  <c r="D202" i="21"/>
  <c r="E202" i="21"/>
  <c r="C202" i="21"/>
  <c r="F202" i="21"/>
  <c r="D203" i="21"/>
  <c r="E203" i="21"/>
  <c r="C203" i="21"/>
  <c r="F203" i="21"/>
  <c r="D204" i="21"/>
  <c r="E204" i="21"/>
  <c r="C204" i="21"/>
  <c r="F204" i="21"/>
  <c r="D205" i="21"/>
  <c r="E205" i="21"/>
  <c r="C205" i="21"/>
  <c r="F205" i="21"/>
  <c r="D206" i="21"/>
  <c r="E206" i="21"/>
  <c r="C206" i="21"/>
  <c r="F206" i="21"/>
  <c r="D207" i="21"/>
  <c r="E207" i="21"/>
  <c r="C207" i="21"/>
  <c r="F207" i="21"/>
  <c r="D208" i="21"/>
  <c r="E208" i="21"/>
  <c r="C208" i="21"/>
  <c r="F208" i="21"/>
  <c r="M209" i="21"/>
  <c r="F209" i="21"/>
  <c r="M210" i="21"/>
  <c r="F210" i="21"/>
  <c r="M211" i="21"/>
  <c r="F211" i="21"/>
  <c r="M212" i="21"/>
  <c r="F212" i="21"/>
  <c r="M213" i="21"/>
  <c r="F213" i="21"/>
  <c r="M214" i="21"/>
  <c r="F214" i="21"/>
  <c r="M215" i="21"/>
  <c r="F215" i="21"/>
  <c r="M216" i="21"/>
  <c r="F216" i="21"/>
  <c r="M217" i="21"/>
  <c r="F217" i="21"/>
  <c r="C218" i="21"/>
  <c r="F218" i="21"/>
  <c r="C219" i="21"/>
  <c r="F219" i="21"/>
  <c r="F220" i="21"/>
  <c r="F221" i="21"/>
  <c r="F222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F240" i="21"/>
  <c r="F241" i="21"/>
  <c r="F242" i="21"/>
  <c r="F243" i="21"/>
  <c r="F244" i="21"/>
  <c r="F245" i="21"/>
  <c r="F246" i="21"/>
  <c r="F247" i="21"/>
  <c r="F248" i="21"/>
  <c r="F249" i="21"/>
  <c r="F250" i="21"/>
  <c r="F251" i="21"/>
  <c r="F252" i="21"/>
  <c r="F253" i="21"/>
  <c r="F254" i="21"/>
  <c r="F255" i="21"/>
  <c r="F256" i="21"/>
  <c r="F257" i="21"/>
  <c r="F258" i="21"/>
  <c r="F259" i="21"/>
  <c r="F260" i="21"/>
  <c r="F261" i="21"/>
  <c r="F262" i="21"/>
  <c r="F263" i="21"/>
  <c r="F264" i="21"/>
  <c r="F265" i="21"/>
  <c r="F266" i="21"/>
  <c r="F267" i="21"/>
  <c r="F268" i="21"/>
  <c r="F269" i="21"/>
  <c r="F270" i="21"/>
  <c r="F271" i="21"/>
  <c r="F272" i="21"/>
  <c r="F273" i="21"/>
  <c r="F274" i="21"/>
  <c r="F275" i="21"/>
  <c r="F276" i="21"/>
  <c r="F277" i="21"/>
  <c r="F278" i="21"/>
  <c r="F279" i="21"/>
  <c r="F280" i="21"/>
  <c r="F281" i="21"/>
  <c r="F282" i="21"/>
  <c r="F283" i="21"/>
  <c r="F284" i="21"/>
  <c r="F285" i="21"/>
  <c r="F286" i="21"/>
  <c r="F287" i="21"/>
  <c r="F288" i="21"/>
  <c r="C289" i="21"/>
  <c r="L289" i="21"/>
  <c r="M289" i="21"/>
  <c r="F289" i="21"/>
  <c r="C290" i="21"/>
  <c r="L290" i="21"/>
  <c r="M290" i="21"/>
  <c r="F290" i="21"/>
  <c r="C291" i="21"/>
  <c r="L291" i="21"/>
  <c r="M291" i="21"/>
  <c r="F291" i="21"/>
  <c r="M292" i="21"/>
  <c r="F292" i="21"/>
  <c r="M293" i="21"/>
  <c r="F293" i="21"/>
  <c r="M294" i="21"/>
  <c r="F294" i="21"/>
  <c r="M295" i="21"/>
  <c r="F295" i="21"/>
  <c r="M296" i="21"/>
  <c r="F296" i="21"/>
  <c r="M297" i="21"/>
  <c r="F297" i="21"/>
  <c r="C298" i="21"/>
  <c r="F298" i="21"/>
  <c r="C299" i="21"/>
  <c r="F299" i="21"/>
  <c r="C310" i="21"/>
  <c r="C311" i="21"/>
  <c r="C312" i="21"/>
  <c r="C313" i="21"/>
  <c r="C314" i="21"/>
  <c r="C315" i="21"/>
  <c r="C316" i="21"/>
  <c r="C317" i="21"/>
  <c r="C318" i="21"/>
  <c r="C319" i="21"/>
  <c r="C320" i="21"/>
  <c r="J252" i="21"/>
  <c r="G252" i="21"/>
  <c r="K252" i="21"/>
  <c r="H252" i="21"/>
  <c r="J253" i="21"/>
  <c r="G253" i="21"/>
  <c r="K253" i="21"/>
  <c r="H253" i="21"/>
  <c r="J254" i="21"/>
  <c r="G254" i="21"/>
  <c r="K254" i="21"/>
  <c r="H254" i="21"/>
  <c r="J255" i="21"/>
  <c r="G255" i="21"/>
  <c r="K255" i="21"/>
  <c r="H255" i="21"/>
  <c r="J256" i="21"/>
  <c r="G256" i="21"/>
  <c r="K256" i="21"/>
  <c r="H256" i="21"/>
  <c r="J257" i="21"/>
  <c r="G257" i="21"/>
  <c r="K257" i="21"/>
  <c r="H257" i="21"/>
  <c r="J258" i="21"/>
  <c r="G258" i="21"/>
  <c r="K258" i="21"/>
  <c r="H258" i="21"/>
  <c r="J259" i="21"/>
  <c r="G259" i="21"/>
  <c r="K259" i="21"/>
  <c r="H259" i="21"/>
  <c r="J260" i="21"/>
  <c r="G260" i="21"/>
  <c r="K260" i="21"/>
  <c r="H260" i="21"/>
  <c r="J261" i="21"/>
  <c r="G261" i="21"/>
  <c r="K261" i="21"/>
  <c r="H261" i="21"/>
  <c r="J262" i="21"/>
  <c r="G262" i="21"/>
  <c r="K262" i="21"/>
  <c r="H262" i="21"/>
  <c r="J263" i="21"/>
  <c r="G263" i="21"/>
  <c r="K263" i="21"/>
  <c r="H263" i="21"/>
  <c r="J264" i="21"/>
  <c r="G264" i="21"/>
  <c r="K264" i="21"/>
  <c r="H264" i="21"/>
  <c r="J265" i="21"/>
  <c r="G265" i="21"/>
  <c r="K265" i="21"/>
  <c r="H265" i="21"/>
  <c r="J266" i="21"/>
  <c r="G266" i="21"/>
  <c r="K266" i="21"/>
  <c r="H266" i="21"/>
  <c r="J267" i="21"/>
  <c r="G267" i="21"/>
  <c r="K267" i="21"/>
  <c r="H267" i="21"/>
  <c r="J268" i="21"/>
  <c r="G268" i="21"/>
  <c r="K268" i="21"/>
  <c r="H268" i="21"/>
  <c r="J269" i="21"/>
  <c r="G269" i="21"/>
  <c r="K269" i="21"/>
  <c r="H269" i="21"/>
  <c r="J270" i="21"/>
  <c r="G270" i="21"/>
  <c r="K270" i="21"/>
  <c r="H270" i="21"/>
  <c r="J271" i="21"/>
  <c r="G271" i="21"/>
  <c r="K271" i="21"/>
  <c r="H271" i="21"/>
  <c r="J272" i="21"/>
  <c r="G272" i="21"/>
  <c r="K272" i="21"/>
  <c r="H272" i="21"/>
  <c r="J273" i="21"/>
  <c r="G273" i="21"/>
  <c r="K273" i="21"/>
  <c r="H273" i="21"/>
  <c r="J274" i="21"/>
  <c r="G274" i="21"/>
  <c r="K274" i="21"/>
  <c r="H274" i="21"/>
  <c r="J275" i="21"/>
  <c r="G275" i="21"/>
  <c r="K275" i="21"/>
  <c r="H275" i="21"/>
  <c r="J276" i="21"/>
  <c r="G276" i="21"/>
  <c r="K276" i="21"/>
  <c r="H276" i="21"/>
  <c r="J277" i="21"/>
  <c r="G277" i="21"/>
  <c r="K277" i="21"/>
  <c r="H277" i="21"/>
  <c r="J278" i="21"/>
  <c r="G278" i="21"/>
  <c r="K278" i="21"/>
  <c r="H278" i="21"/>
  <c r="J279" i="21"/>
  <c r="G279" i="21"/>
  <c r="K279" i="21"/>
  <c r="H279" i="21"/>
  <c r="J280" i="21"/>
  <c r="G280" i="21"/>
  <c r="K280" i="21"/>
  <c r="H280" i="21"/>
  <c r="J281" i="21"/>
  <c r="G281" i="21"/>
  <c r="K281" i="21"/>
  <c r="H281" i="21"/>
  <c r="J282" i="21"/>
  <c r="G282" i="21"/>
  <c r="K282" i="21"/>
  <c r="H282" i="21"/>
  <c r="J283" i="21"/>
  <c r="G283" i="21"/>
  <c r="K283" i="21"/>
  <c r="H283" i="21"/>
  <c r="J284" i="21"/>
  <c r="G284" i="21"/>
  <c r="K284" i="21"/>
  <c r="H284" i="21"/>
  <c r="J285" i="21"/>
  <c r="G285" i="21"/>
  <c r="K285" i="21"/>
  <c r="H285" i="21"/>
  <c r="J286" i="21"/>
  <c r="G286" i="21"/>
  <c r="K286" i="21"/>
  <c r="H286" i="21"/>
  <c r="J287" i="21"/>
  <c r="G287" i="21"/>
  <c r="K287" i="21"/>
  <c r="H287" i="21"/>
  <c r="J288" i="21"/>
  <c r="G288" i="21"/>
  <c r="K288" i="21"/>
  <c r="H288" i="21"/>
  <c r="D322" i="21"/>
  <c r="E322" i="21"/>
  <c r="D323" i="21"/>
  <c r="E323" i="21"/>
  <c r="D324" i="21"/>
  <c r="E324" i="21"/>
  <c r="D325" i="21"/>
  <c r="E325" i="21"/>
  <c r="E321" i="21"/>
  <c r="D321" i="21"/>
  <c r="M311" i="21"/>
  <c r="M314" i="21"/>
  <c r="M315" i="21"/>
  <c r="M318" i="21"/>
  <c r="M319" i="21"/>
  <c r="M310" i="21"/>
  <c r="L320" i="21"/>
  <c r="M320" i="21"/>
  <c r="L317" i="21"/>
  <c r="M317" i="21"/>
  <c r="L316" i="21"/>
  <c r="M316" i="21"/>
  <c r="L313" i="21"/>
  <c r="M313" i="21"/>
  <c r="L312" i="21"/>
  <c r="M312" i="21"/>
  <c r="K320" i="21"/>
  <c r="J320" i="21"/>
  <c r="K319" i="21"/>
  <c r="J319" i="21"/>
  <c r="K318" i="21"/>
  <c r="J318" i="21"/>
  <c r="K317" i="21"/>
  <c r="J317" i="21"/>
  <c r="K316" i="21"/>
  <c r="J316" i="21"/>
  <c r="K315" i="21"/>
  <c r="J315" i="21"/>
  <c r="K314" i="21"/>
  <c r="J314" i="21"/>
  <c r="K313" i="21"/>
  <c r="J313" i="21"/>
  <c r="K312" i="21"/>
  <c r="J312" i="21"/>
  <c r="K311" i="21"/>
  <c r="J311" i="21"/>
  <c r="K310" i="21"/>
  <c r="J310" i="21"/>
  <c r="H320" i="21"/>
  <c r="G320" i="21"/>
  <c r="H319" i="21"/>
  <c r="G319" i="21"/>
  <c r="H318" i="21"/>
  <c r="G318" i="21"/>
  <c r="H317" i="21"/>
  <c r="G317" i="21"/>
  <c r="H316" i="21"/>
  <c r="G316" i="21"/>
  <c r="H315" i="21"/>
  <c r="G315" i="21"/>
  <c r="H314" i="21"/>
  <c r="G314" i="21"/>
  <c r="H313" i="21"/>
  <c r="G313" i="21"/>
  <c r="H312" i="21"/>
  <c r="G312" i="21"/>
  <c r="H311" i="21"/>
  <c r="G311" i="21"/>
  <c r="H310" i="21"/>
  <c r="G310" i="21"/>
  <c r="BD4" i="21"/>
  <c r="AB199" i="21"/>
  <c r="AA199" i="21"/>
  <c r="AA23" i="21"/>
  <c r="AB23" i="21"/>
  <c r="AB206" i="21"/>
  <c r="AA206" i="21"/>
  <c r="E78" i="21"/>
  <c r="E77" i="21"/>
  <c r="D76" i="21"/>
  <c r="E75" i="21"/>
  <c r="E74" i="21"/>
  <c r="E73" i="21"/>
  <c r="AB41" i="21"/>
  <c r="AA50" i="21"/>
  <c r="AA49" i="21"/>
  <c r="AA48" i="21"/>
  <c r="AA47" i="21"/>
  <c r="AA46" i="21"/>
  <c r="AB45" i="21"/>
  <c r="AB44" i="21"/>
  <c r="AA43" i="21"/>
  <c r="AB42" i="21"/>
  <c r="AA41" i="21"/>
  <c r="AB40" i="21"/>
  <c r="AA39" i="21"/>
  <c r="AA38" i="21"/>
  <c r="AB37" i="21"/>
  <c r="AA36" i="21"/>
  <c r="AA35" i="21"/>
  <c r="AB83" i="21"/>
  <c r="AA34" i="21"/>
  <c r="AA33" i="21"/>
  <c r="Z4" i="21"/>
  <c r="AR4" i="21"/>
  <c r="E72" i="21"/>
  <c r="D72" i="21"/>
  <c r="E19" i="21"/>
  <c r="D19" i="21"/>
  <c r="D301" i="21"/>
  <c r="E301" i="21"/>
  <c r="D302" i="21"/>
  <c r="E302" i="21"/>
  <c r="D303" i="21"/>
  <c r="E303" i="21"/>
  <c r="D304" i="21"/>
  <c r="E304" i="21"/>
  <c r="D305" i="21"/>
  <c r="E305" i="21"/>
  <c r="D306" i="21"/>
  <c r="E306" i="21"/>
  <c r="D307" i="21"/>
  <c r="E307" i="21"/>
  <c r="D308" i="21"/>
  <c r="E308" i="21"/>
  <c r="D309" i="21"/>
  <c r="E309" i="21"/>
  <c r="E300" i="21"/>
  <c r="D300" i="21"/>
  <c r="D74" i="21"/>
  <c r="AB33" i="21"/>
  <c r="D75" i="21"/>
  <c r="AA83" i="21"/>
  <c r="AB39" i="21"/>
  <c r="AB38" i="21"/>
  <c r="AA45" i="21"/>
  <c r="D78" i="21"/>
  <c r="AB43" i="21"/>
  <c r="AB50" i="21"/>
  <c r="AB36" i="21"/>
  <c r="AA44" i="21"/>
  <c r="AA42" i="21"/>
  <c r="AA40" i="21"/>
  <c r="AB46" i="21"/>
  <c r="AB48" i="21"/>
  <c r="E76" i="21"/>
  <c r="AB35" i="21"/>
  <c r="AB34" i="21"/>
  <c r="AB47" i="21"/>
  <c r="AB49" i="21"/>
  <c r="AA37" i="21"/>
  <c r="D73" i="21"/>
  <c r="D77" i="21"/>
  <c r="E9" i="21"/>
  <c r="D9" i="21"/>
  <c r="E5" i="21"/>
  <c r="D5" i="21"/>
  <c r="C4" i="21"/>
  <c r="BC5" i="21"/>
  <c r="BB5" i="21"/>
  <c r="AA192" i="21"/>
  <c r="AB192" i="21"/>
  <c r="AA193" i="21"/>
  <c r="AB193" i="21"/>
  <c r="AB191" i="21"/>
  <c r="AA191" i="21"/>
  <c r="AB82" i="21"/>
  <c r="AA82" i="21"/>
  <c r="AB79" i="21"/>
  <c r="AA79" i="21"/>
  <c r="K299" i="21"/>
  <c r="H299" i="21"/>
  <c r="J299" i="21"/>
  <c r="G299" i="21"/>
  <c r="K298" i="21"/>
  <c r="H298" i="21"/>
  <c r="J298" i="21"/>
  <c r="G298" i="21"/>
  <c r="K297" i="21"/>
  <c r="H297" i="21"/>
  <c r="J297" i="21"/>
  <c r="G297" i="21"/>
  <c r="K296" i="21"/>
  <c r="J296" i="21"/>
  <c r="K295" i="21"/>
  <c r="H295" i="21"/>
  <c r="J295" i="21"/>
  <c r="K294" i="21"/>
  <c r="J294" i="21"/>
  <c r="G294" i="21"/>
  <c r="K293" i="21"/>
  <c r="J293" i="21"/>
  <c r="G293" i="21"/>
  <c r="K292" i="21"/>
  <c r="J292" i="21"/>
  <c r="H292" i="21"/>
  <c r="G220" i="21"/>
  <c r="H220" i="21"/>
  <c r="G221" i="21"/>
  <c r="H221" i="21"/>
  <c r="G222" i="21"/>
  <c r="H222" i="21"/>
  <c r="G223" i="21"/>
  <c r="H223" i="21"/>
  <c r="G224" i="21"/>
  <c r="H224" i="21"/>
  <c r="G225" i="21"/>
  <c r="H225" i="21"/>
  <c r="G226" i="21"/>
  <c r="H226" i="21"/>
  <c r="G227" i="21"/>
  <c r="H227" i="21"/>
  <c r="G228" i="21"/>
  <c r="H228" i="21"/>
  <c r="G229" i="21"/>
  <c r="H229" i="21"/>
  <c r="G230" i="21"/>
  <c r="H230" i="21"/>
  <c r="G231" i="21"/>
  <c r="H231" i="21"/>
  <c r="G232" i="21"/>
  <c r="H232" i="21"/>
  <c r="G233" i="21"/>
  <c r="H233" i="21"/>
  <c r="G234" i="21"/>
  <c r="H234" i="21"/>
  <c r="G235" i="21"/>
  <c r="H235" i="21"/>
  <c r="G236" i="21"/>
  <c r="H236" i="21"/>
  <c r="G237" i="21"/>
  <c r="H237" i="21"/>
  <c r="G238" i="21"/>
  <c r="H238" i="21"/>
  <c r="G239" i="21"/>
  <c r="H239" i="21"/>
  <c r="G240" i="21"/>
  <c r="H240" i="21"/>
  <c r="G241" i="21"/>
  <c r="H241" i="21"/>
  <c r="G242" i="21"/>
  <c r="H242" i="21"/>
  <c r="G243" i="21"/>
  <c r="H243" i="21"/>
  <c r="G244" i="21"/>
  <c r="H244" i="21"/>
  <c r="G245" i="21"/>
  <c r="H245" i="21"/>
  <c r="G246" i="21"/>
  <c r="H246" i="21"/>
  <c r="G247" i="21"/>
  <c r="H247" i="21"/>
  <c r="G248" i="21"/>
  <c r="H248" i="21"/>
  <c r="G249" i="21"/>
  <c r="H249" i="21"/>
  <c r="G250" i="21"/>
  <c r="H250" i="21"/>
  <c r="G251" i="21"/>
  <c r="H251" i="21"/>
  <c r="K219" i="21"/>
  <c r="H219" i="21"/>
  <c r="J219" i="21"/>
  <c r="G219" i="21"/>
  <c r="K218" i="21"/>
  <c r="H218" i="21"/>
  <c r="J218" i="21"/>
  <c r="G218" i="21"/>
  <c r="G212" i="21"/>
  <c r="H213" i="21"/>
  <c r="H216" i="21"/>
  <c r="G216" i="21"/>
  <c r="H217" i="21"/>
  <c r="H209" i="21"/>
  <c r="K291" i="21"/>
  <c r="J291" i="21"/>
  <c r="K290" i="21"/>
  <c r="J290" i="21"/>
  <c r="G290" i="21"/>
  <c r="K289" i="21"/>
  <c r="J289" i="21"/>
  <c r="G289" i="21"/>
  <c r="D88" i="21"/>
  <c r="E88" i="21"/>
  <c r="D89" i="21"/>
  <c r="E89" i="21"/>
  <c r="D90" i="21"/>
  <c r="E90" i="21"/>
  <c r="D91" i="21"/>
  <c r="E91" i="21"/>
  <c r="D92" i="21"/>
  <c r="E92" i="21"/>
  <c r="D93" i="21"/>
  <c r="E93" i="21"/>
  <c r="D94" i="21"/>
  <c r="E94" i="21"/>
  <c r="D95" i="21"/>
  <c r="E95" i="21"/>
  <c r="D96" i="21"/>
  <c r="E96" i="21"/>
  <c r="D97" i="21"/>
  <c r="E97" i="21"/>
  <c r="D98" i="21"/>
  <c r="E98" i="21"/>
  <c r="D99" i="21"/>
  <c r="E99" i="21"/>
  <c r="D100" i="21"/>
  <c r="E100" i="21"/>
  <c r="D101" i="21"/>
  <c r="E101" i="21"/>
  <c r="D102" i="21"/>
  <c r="E102" i="21"/>
  <c r="D103" i="21"/>
  <c r="E103" i="21"/>
  <c r="D104" i="21"/>
  <c r="E104" i="21"/>
  <c r="D105" i="21"/>
  <c r="E105" i="21"/>
  <c r="D106" i="21"/>
  <c r="E106" i="21"/>
  <c r="D107" i="21"/>
  <c r="E107" i="21"/>
  <c r="D108" i="21"/>
  <c r="E108" i="21"/>
  <c r="D109" i="21"/>
  <c r="E109" i="21"/>
  <c r="D110" i="21"/>
  <c r="E110" i="21"/>
  <c r="D111" i="21"/>
  <c r="E111" i="21"/>
  <c r="D112" i="21"/>
  <c r="E112" i="21"/>
  <c r="D113" i="21"/>
  <c r="E113" i="21"/>
  <c r="D114" i="21"/>
  <c r="E114" i="21"/>
  <c r="D115" i="21"/>
  <c r="E115" i="21"/>
  <c r="D116" i="21"/>
  <c r="E116" i="21"/>
  <c r="D117" i="21"/>
  <c r="E117" i="21"/>
  <c r="D118" i="21"/>
  <c r="E118" i="21"/>
  <c r="D119" i="21"/>
  <c r="E119" i="21"/>
  <c r="D120" i="21"/>
  <c r="E120" i="21"/>
  <c r="D121" i="21"/>
  <c r="E121" i="21"/>
  <c r="D122" i="21"/>
  <c r="E122" i="21"/>
  <c r="D123" i="21"/>
  <c r="E123" i="21"/>
  <c r="G296" i="21"/>
  <c r="H293" i="21"/>
  <c r="H296" i="21"/>
  <c r="G209" i="21"/>
  <c r="G295" i="21"/>
  <c r="H294" i="21"/>
  <c r="H290" i="21"/>
  <c r="H210" i="21"/>
  <c r="G217" i="21"/>
  <c r="H214" i="21"/>
  <c r="H215" i="21"/>
  <c r="G214" i="21"/>
  <c r="G210" i="21"/>
  <c r="H212" i="21"/>
  <c r="G211" i="21"/>
  <c r="H21" i="21"/>
  <c r="G21" i="21"/>
  <c r="H20" i="21"/>
  <c r="G20" i="21"/>
  <c r="H19" i="21"/>
  <c r="G19" i="21"/>
  <c r="H28" i="21"/>
  <c r="G28" i="21"/>
  <c r="H27" i="21"/>
  <c r="G27" i="21"/>
  <c r="H26" i="21"/>
  <c r="G26" i="21"/>
  <c r="H25" i="21"/>
  <c r="G25" i="21"/>
  <c r="H17" i="21"/>
  <c r="G17" i="21"/>
  <c r="H8" i="21"/>
  <c r="G8" i="21"/>
  <c r="G145" i="21"/>
  <c r="H145" i="21"/>
  <c r="G146" i="21"/>
  <c r="H146" i="21"/>
  <c r="G147" i="21"/>
  <c r="H147" i="21"/>
  <c r="G148" i="21"/>
  <c r="H148" i="21"/>
  <c r="G149" i="21"/>
  <c r="H149" i="21"/>
  <c r="G150" i="21"/>
  <c r="H150" i="21"/>
  <c r="G151" i="21"/>
  <c r="H151" i="21"/>
  <c r="G152" i="21"/>
  <c r="H152" i="21"/>
  <c r="G153" i="21"/>
  <c r="H153" i="21"/>
  <c r="G154" i="21"/>
  <c r="H154" i="21"/>
  <c r="G155" i="21"/>
  <c r="H155" i="21"/>
  <c r="G156" i="21"/>
  <c r="H156" i="21"/>
  <c r="G157" i="21"/>
  <c r="H157" i="21"/>
  <c r="G158" i="21"/>
  <c r="H158" i="21"/>
  <c r="G159" i="21"/>
  <c r="H159" i="21"/>
  <c r="G160" i="21"/>
  <c r="H160" i="21"/>
  <c r="G161" i="21"/>
  <c r="H161" i="21"/>
  <c r="G162" i="21"/>
  <c r="H162" i="21"/>
  <c r="G163" i="21"/>
  <c r="H163" i="21"/>
  <c r="G164" i="21"/>
  <c r="H164" i="21"/>
  <c r="G165" i="21"/>
  <c r="H165" i="21"/>
  <c r="G166" i="21"/>
  <c r="G169" i="21"/>
  <c r="G170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G110" i="21"/>
  <c r="H110" i="21"/>
  <c r="G111" i="21"/>
  <c r="H111" i="21"/>
  <c r="G112" i="21"/>
  <c r="H112" i="21"/>
  <c r="G113" i="21"/>
  <c r="H113" i="21"/>
  <c r="G114" i="21"/>
  <c r="H114" i="21"/>
  <c r="G115" i="21"/>
  <c r="H115" i="21"/>
  <c r="G116" i="21"/>
  <c r="H116" i="21"/>
  <c r="G117" i="21"/>
  <c r="H117" i="21"/>
  <c r="G118" i="21"/>
  <c r="H118" i="21"/>
  <c r="G119" i="21"/>
  <c r="H119" i="21"/>
  <c r="G120" i="21"/>
  <c r="H120" i="21"/>
  <c r="G121" i="21"/>
  <c r="H121" i="21"/>
  <c r="G122" i="21"/>
  <c r="H122" i="21"/>
  <c r="G123" i="21"/>
  <c r="H123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54" i="21"/>
  <c r="H54" i="21"/>
  <c r="G55" i="21"/>
  <c r="H55" i="21"/>
  <c r="G56" i="21"/>
  <c r="H56" i="21"/>
  <c r="G57" i="21"/>
  <c r="H57" i="21"/>
  <c r="G58" i="21"/>
  <c r="H58" i="21"/>
  <c r="G59" i="21"/>
  <c r="H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H69" i="21"/>
  <c r="G70" i="21"/>
  <c r="H70" i="21"/>
  <c r="G71" i="21"/>
  <c r="H71" i="21"/>
  <c r="G72" i="21"/>
  <c r="H72" i="21"/>
  <c r="G73" i="21"/>
  <c r="H73" i="21"/>
  <c r="G74" i="21"/>
  <c r="H74" i="21"/>
  <c r="G75" i="21"/>
  <c r="H75" i="21"/>
  <c r="G76" i="21"/>
  <c r="H76" i="21"/>
  <c r="G77" i="21"/>
  <c r="H77" i="21"/>
  <c r="G78" i="21"/>
  <c r="H78" i="21"/>
  <c r="G79" i="21"/>
  <c r="H79" i="21"/>
  <c r="G80" i="21"/>
  <c r="H80" i="21"/>
  <c r="G81" i="21"/>
  <c r="H81" i="21"/>
  <c r="G82" i="21"/>
  <c r="H82" i="21"/>
  <c r="G83" i="21"/>
  <c r="H83" i="21"/>
  <c r="G84" i="21"/>
  <c r="H84" i="21"/>
  <c r="G85" i="21"/>
  <c r="H85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5" i="21"/>
  <c r="H5" i="21"/>
  <c r="G6" i="21"/>
  <c r="H6" i="21"/>
  <c r="G7" i="21"/>
  <c r="H7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G16" i="21"/>
  <c r="H16" i="21"/>
  <c r="G18" i="21"/>
  <c r="H18" i="21"/>
  <c r="G22" i="21"/>
  <c r="H22" i="21"/>
  <c r="G23" i="21"/>
  <c r="H23" i="21"/>
  <c r="G24" i="21"/>
  <c r="H24" i="21"/>
  <c r="G29" i="21"/>
  <c r="H29" i="21"/>
  <c r="G30" i="21"/>
  <c r="H30" i="21"/>
  <c r="G31" i="21"/>
  <c r="H31" i="21"/>
  <c r="G32" i="21"/>
  <c r="H32" i="21"/>
  <c r="G33" i="21"/>
  <c r="H33" i="21"/>
  <c r="G34" i="21"/>
  <c r="H34" i="21"/>
  <c r="G35" i="21"/>
  <c r="H35" i="21"/>
  <c r="G36" i="21"/>
  <c r="H36" i="21"/>
  <c r="G37" i="21"/>
  <c r="H37" i="21"/>
  <c r="G38" i="21"/>
  <c r="H38" i="21"/>
  <c r="G39" i="21"/>
  <c r="H39" i="21"/>
  <c r="G40" i="21"/>
  <c r="H40" i="21"/>
  <c r="G41" i="21"/>
  <c r="H41" i="21"/>
  <c r="G42" i="21"/>
  <c r="H42" i="21"/>
  <c r="G43" i="21"/>
  <c r="H43" i="21"/>
  <c r="G44" i="21"/>
  <c r="H44" i="21"/>
  <c r="G45" i="21"/>
  <c r="H45" i="21"/>
  <c r="G46" i="21"/>
  <c r="H46" i="21"/>
  <c r="G47" i="21"/>
  <c r="H47" i="21"/>
  <c r="G48" i="21"/>
  <c r="H48" i="21"/>
  <c r="G49" i="21"/>
  <c r="H49" i="21"/>
  <c r="G50" i="21"/>
  <c r="H50" i="21"/>
  <c r="G51" i="21"/>
  <c r="H51" i="21"/>
  <c r="G52" i="21"/>
  <c r="H52" i="21"/>
  <c r="G53" i="21"/>
  <c r="H53" i="21"/>
  <c r="G4" i="21"/>
  <c r="H4" i="21"/>
  <c r="F4" i="21"/>
  <c r="K208" i="21"/>
  <c r="H208" i="21"/>
  <c r="J208" i="21"/>
  <c r="G208" i="21"/>
  <c r="K207" i="21"/>
  <c r="H207" i="21"/>
  <c r="J207" i="21"/>
  <c r="G207" i="21"/>
  <c r="K206" i="21"/>
  <c r="H206" i="21"/>
  <c r="J206" i="21"/>
  <c r="G206" i="21"/>
  <c r="K205" i="21"/>
  <c r="H205" i="21"/>
  <c r="J205" i="21"/>
  <c r="G205" i="21"/>
  <c r="K204" i="21"/>
  <c r="H204" i="21"/>
  <c r="J204" i="21"/>
  <c r="G204" i="21"/>
  <c r="K203" i="21"/>
  <c r="H203" i="21"/>
  <c r="J203" i="21"/>
  <c r="G203" i="21"/>
  <c r="K202" i="21"/>
  <c r="H202" i="21"/>
  <c r="J202" i="21"/>
  <c r="G202" i="21"/>
  <c r="K201" i="21"/>
  <c r="H201" i="21"/>
  <c r="J201" i="21"/>
  <c r="G201" i="21"/>
  <c r="K200" i="21"/>
  <c r="H200" i="21"/>
  <c r="J200" i="21"/>
  <c r="G200" i="21"/>
  <c r="K199" i="21"/>
  <c r="H199" i="21"/>
  <c r="J199" i="21"/>
  <c r="G199" i="21"/>
  <c r="K198" i="21"/>
  <c r="H198" i="21"/>
  <c r="J198" i="21"/>
  <c r="G198" i="21"/>
  <c r="K197" i="21"/>
  <c r="H197" i="21"/>
  <c r="J197" i="21"/>
  <c r="G197" i="21"/>
  <c r="K196" i="21"/>
  <c r="H196" i="21"/>
  <c r="J196" i="21"/>
  <c r="G196" i="21"/>
  <c r="K195" i="21"/>
  <c r="H195" i="21"/>
  <c r="J195" i="21"/>
  <c r="G195" i="21"/>
  <c r="K194" i="21"/>
  <c r="H194" i="21"/>
  <c r="J194" i="21"/>
  <c r="G194" i="21"/>
  <c r="K193" i="21"/>
  <c r="H193" i="21"/>
  <c r="J193" i="21"/>
  <c r="G193" i="21"/>
  <c r="K192" i="21"/>
  <c r="H192" i="21"/>
  <c r="J192" i="21"/>
  <c r="G192" i="21"/>
  <c r="K191" i="21"/>
  <c r="H191" i="21"/>
  <c r="J191" i="21"/>
  <c r="G191" i="21"/>
  <c r="K190" i="21"/>
  <c r="H190" i="21"/>
  <c r="J190" i="21"/>
  <c r="G190" i="21"/>
  <c r="K189" i="21"/>
  <c r="H189" i="21"/>
  <c r="J189" i="21"/>
  <c r="G189" i="21"/>
  <c r="K188" i="21"/>
  <c r="H188" i="21"/>
  <c r="J188" i="21"/>
  <c r="G188" i="21"/>
  <c r="K187" i="21"/>
  <c r="H187" i="21"/>
  <c r="J187" i="21"/>
  <c r="G187" i="21"/>
  <c r="K186" i="21"/>
  <c r="H186" i="21"/>
  <c r="J186" i="21"/>
  <c r="G186" i="21"/>
  <c r="K185" i="21"/>
  <c r="H185" i="21"/>
  <c r="J185" i="21"/>
  <c r="G185" i="21"/>
  <c r="K184" i="21"/>
  <c r="H184" i="21"/>
  <c r="J184" i="21"/>
  <c r="G184" i="21"/>
  <c r="K183" i="21"/>
  <c r="H183" i="21"/>
  <c r="J183" i="21"/>
  <c r="G183" i="21"/>
  <c r="K182" i="21"/>
  <c r="H182" i="21"/>
  <c r="J182" i="21"/>
  <c r="G182" i="21"/>
  <c r="K181" i="21"/>
  <c r="H181" i="21"/>
  <c r="J181" i="21"/>
  <c r="G181" i="21"/>
  <c r="K180" i="21"/>
  <c r="H180" i="21"/>
  <c r="J180" i="21"/>
  <c r="G180" i="21"/>
  <c r="K179" i="21"/>
  <c r="H179" i="21"/>
  <c r="J179" i="21"/>
  <c r="G179" i="21"/>
  <c r="K178" i="21"/>
  <c r="H178" i="21"/>
  <c r="J178" i="21"/>
  <c r="G178" i="21"/>
  <c r="K177" i="21"/>
  <c r="H177" i="21"/>
  <c r="J177" i="21"/>
  <c r="G177" i="21"/>
  <c r="K176" i="21"/>
  <c r="H176" i="21"/>
  <c r="J176" i="21"/>
  <c r="G176" i="21"/>
  <c r="K175" i="21"/>
  <c r="H175" i="21"/>
  <c r="J175" i="21"/>
  <c r="G175" i="21"/>
  <c r="K174" i="21"/>
  <c r="H174" i="21"/>
  <c r="J174" i="21"/>
  <c r="G174" i="21"/>
  <c r="K173" i="21"/>
  <c r="H173" i="21"/>
  <c r="J173" i="21"/>
  <c r="G173" i="21"/>
  <c r="K172" i="21"/>
  <c r="H172" i="21"/>
  <c r="J172" i="21"/>
  <c r="G172" i="21"/>
  <c r="K171" i="21"/>
  <c r="H171" i="21"/>
  <c r="J171" i="21"/>
  <c r="G171" i="21"/>
  <c r="K170" i="21"/>
  <c r="H170" i="21"/>
  <c r="K169" i="21"/>
  <c r="H169" i="21"/>
  <c r="K168" i="21"/>
  <c r="H168" i="21"/>
  <c r="J168" i="21"/>
  <c r="G168" i="21"/>
  <c r="K167" i="21"/>
  <c r="H167" i="21"/>
  <c r="J167" i="21"/>
  <c r="G167" i="21"/>
  <c r="K166" i="21"/>
  <c r="H166" i="21"/>
  <c r="K135" i="21"/>
  <c r="H135" i="21"/>
  <c r="J135" i="21"/>
  <c r="G135" i="21"/>
  <c r="K134" i="21"/>
  <c r="H134" i="21"/>
  <c r="J134" i="21"/>
  <c r="G134" i="21"/>
  <c r="K133" i="21"/>
  <c r="H133" i="21"/>
  <c r="J133" i="21"/>
  <c r="G133" i="21"/>
  <c r="K132" i="21"/>
  <c r="H132" i="21"/>
  <c r="J132" i="21"/>
  <c r="G132" i="21"/>
  <c r="K131" i="21"/>
  <c r="H131" i="21"/>
  <c r="J131" i="21"/>
  <c r="G131" i="21"/>
  <c r="BA4" i="21"/>
  <c r="AC4" i="21"/>
  <c r="E1" i="21"/>
  <c r="AT1" i="21"/>
  <c r="AM1" i="21"/>
  <c r="BC1" i="21"/>
  <c r="G291" i="21"/>
  <c r="H291" i="21"/>
  <c r="H289" i="21"/>
  <c r="G215" i="21"/>
  <c r="H211" i="21"/>
  <c r="G292" i="21"/>
  <c r="G213" i="21"/>
</calcChain>
</file>

<file path=xl/comments1.xml><?xml version="1.0" encoding="utf-8"?>
<comments xmlns="http://schemas.openxmlformats.org/spreadsheetml/2006/main">
  <authors>
    <author>Dana Royer</author>
  </authors>
  <commentList>
    <comment ref="L300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1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2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3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4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5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6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7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8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09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21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22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23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24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25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Authors used Cotton &amp; Sheldon (2012) transfer function; actual values not reported in text.</t>
        </r>
      </text>
    </comment>
    <comment ref="L326" authorId="0">
      <text>
        <r>
          <rPr>
            <b/>
            <sz val="9"/>
            <color indexed="81"/>
            <rFont val="Tahoma"/>
            <family val="2"/>
          </rPr>
          <t>Dana Royer:</t>
        </r>
        <r>
          <rPr>
            <sz val="9"/>
            <color indexed="81"/>
            <rFont val="Tahoma"/>
            <family val="2"/>
          </rPr>
          <t xml:space="preserve">
based on Retallack's depth-to-carbonate approach</t>
        </r>
      </text>
    </comment>
  </commentList>
</comments>
</file>

<file path=xl/sharedStrings.xml><?xml version="1.0" encoding="utf-8"?>
<sst xmlns="http://schemas.openxmlformats.org/spreadsheetml/2006/main" count="2567" uniqueCount="472">
  <si>
    <t>Royer et al., 2001b (updated by Beerling et al., 2009)</t>
  </si>
  <si>
    <r>
      <t>4. Boron-based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of Pearson and Palmer (2000) are excluded due to problems related to diagenesis, vital effects of extinct species, and the evolution of seawater δ</t>
    </r>
    <r>
      <rPr>
        <vertAlign val="superscript"/>
        <sz val="11"/>
        <rFont val="Arial"/>
        <family val="2"/>
      </rPr>
      <t>11</t>
    </r>
    <r>
      <rPr>
        <sz val="11"/>
        <rFont val="Arial"/>
        <family val="2"/>
      </rPr>
      <t>B and alkalinity (Lemarchand et al., 2000; Pearson et al., 2001; Royer et al., 2001a; Pagani et al., 2005a; Klochko et al., 2006, 2009).</t>
    </r>
  </si>
  <si>
    <r>
      <t>Beerling, D.J., 2002, Low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during the Permo-Carboniferous glaciation inferred from fossil lycopsids: Proceedings of the National Academy of Sciences, USA, v. 99, p. 12567-12571.</t>
    </r>
  </si>
  <si>
    <r>
      <t xml:space="preserve">Beerling, D.J., Lomax, B.H., Royer, D.L., Upchurch, G.R., and Kump, L.R., 2002, An atmospheric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reconstruction across the Cretaceous-Tertiary boundary from leaf megafossils: Proceedings of the National Academy of Sciences, USA, v. 99, p. 7836-7840.</t>
    </r>
  </si>
  <si>
    <r>
      <t>—, 1992, Use of carbon isotopes in paleosols as an indicator of the P(CO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 of the paleoatmosphere: Global Biogeochemical Cycles, v. 6, p. 307-314.</t>
    </r>
  </si>
  <si>
    <r>
      <t xml:space="preserve">Demicco, R.V., Lowenstein, T.K., and Hardie, L.A., 2003, Atmospheric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since 60 Ma from records of seawater pH, calcium, and primary carbonate mineralogy: Geology, v. 31, p. 793-796.</t>
    </r>
  </si>
  <si>
    <r>
      <t>Driese, S.G., Mora, C.I., and Elick, J.M., 2000, The paleosol record of increasing plant diversity and depth of rooting and changes in atmospheric pCO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in the Siluro-Devonian: </t>
    </r>
    <r>
      <rPr>
        <i/>
        <sz val="11"/>
        <rFont val="Arial"/>
        <family val="2"/>
      </rPr>
      <t>in</t>
    </r>
    <r>
      <rPr>
        <sz val="11"/>
        <rFont val="Arial"/>
        <family val="2"/>
      </rPr>
      <t xml:space="preserve"> White, R.D., ed., Phanerozoic Terrestrial Ecosystems: New Haven, The Paleontological Society Special Publication 6, p. 47-61.</t>
    </r>
  </si>
  <si>
    <r>
      <t>Ghosh, P., Ghosh, P., and Bhattacharya, S.K., 2001,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in the Late Palaeozoic and Mesozoic atmosphere from soil carbonate and organic matter, Satpura basin, Central India: Palaeogeography, Palaeoclimatology, Palaeoecology, v. 170, p. 219-236.</t>
    </r>
  </si>
  <si>
    <r>
      <t>Ghosh, P., Bhattacharya, S.K., and Ghosh, P., 2005,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during the Late Paleozoic and Mesozoic: Estimates from Indian soils, </t>
    </r>
    <r>
      <rPr>
        <i/>
        <sz val="11"/>
        <rFont val="Arial"/>
        <family val="2"/>
      </rPr>
      <t>in</t>
    </r>
    <r>
      <rPr>
        <sz val="11"/>
        <rFont val="Arial"/>
        <family val="2"/>
      </rPr>
      <t xml:space="preserve"> Ehleringer, J.R., Cerling, T.E., and Dearing, M.D., eds., A History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and Its Effects on Plants, Animals, and Ecosystems: New York, Springer, p. 8-34.</t>
    </r>
  </si>
  <si>
    <r>
      <t xml:space="preserve">Greenwood, D.R., Scarr, M.J., and Christophel, D.C., 2003, Leaf stomatal frequency in the Australian tropical rainforest tree </t>
    </r>
    <r>
      <rPr>
        <i/>
        <sz val="11"/>
        <rFont val="Arial"/>
        <family val="2"/>
      </rPr>
      <t>Neolitsea dealbata</t>
    </r>
    <r>
      <rPr>
        <sz val="11"/>
        <rFont val="Arial"/>
        <family val="2"/>
      </rPr>
      <t xml:space="preserve"> (Lauraceae) as a proxy measure of atmospheric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Palaeogeography, Palaeoclimatology, Palaeoecology, v. 196, p. 375-393.</t>
    </r>
  </si>
  <si>
    <r>
      <t xml:space="preserve">Haworth, M., Hesselbo, S.P., McElwain, J.C., and Robinson, S.A., 2005, Mid Cretaceous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based on stomata of the extinct conifer </t>
    </r>
    <r>
      <rPr>
        <i/>
        <sz val="11"/>
        <rFont val="Arial"/>
        <family val="2"/>
      </rPr>
      <t>Pseudofrenelopsis</t>
    </r>
    <r>
      <rPr>
        <sz val="11"/>
        <rFont val="Arial"/>
        <family val="2"/>
      </rPr>
      <t>: Geology, v. 33, p. 749-752.</t>
    </r>
  </si>
  <si>
    <r>
      <t>Kürschner, W.M., 1996, Leaf stomata as biosensors of paleoatmospheric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levels: LPP Contributions Series, v. 5, p. 1-153.</t>
    </r>
  </si>
  <si>
    <r>
      <t>Kürschner, W.M., Wagner, F., Dilcher, D.L., and Visscher, H., 2001, Using fossil leaves for the reconstruction of Cenozoic paleoatmospheric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concentrations, </t>
    </r>
    <r>
      <rPr>
        <i/>
        <sz val="11"/>
        <rFont val="Arial"/>
        <family val="2"/>
      </rPr>
      <t>in</t>
    </r>
    <r>
      <rPr>
        <sz val="11"/>
        <rFont val="Arial"/>
        <family val="2"/>
      </rPr>
      <t xml:space="preserve"> Gerhard, L.C., Harrison, W.E., and Hanson, B.M., eds., Geological Perspectives of Global Climate Change: APPG Studies in Geology 47, Tulsa, The American Association of Petroleum Geologists, p. 169-189.</t>
    </r>
  </si>
  <si>
    <r>
      <t>McElwain, J.C., 1998, Do fossil plants signal palaeoatmospheric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 in the geological past?: Philosophical Transactions of the Royal Society London, v. B353, p. 83-96.</t>
    </r>
  </si>
  <si>
    <r>
      <t>Muchez, P., Peeters, C., Keppens, E., and Viaene, W.A., 1993, Stable isotopic composition of paleosols in the Lower Visan of eastern Belgium: evidence of evaporation and soil--gas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Chemical Geology, v. 106, p. 389-396.</t>
    </r>
  </si>
  <si>
    <r>
      <t>Montañez, I.P., Tabor, N.J., Niemeier, D., DiMichele, W. A., Frank, T. D., Fielding, C. R., Isbell, J. L., Birgenheier, L.P., and Rygel, M. C., 2007,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-forced climate and vegetation instability during late Paleozoic deglaciation: Science, v. 315, p. 87-91.</t>
    </r>
  </si>
  <si>
    <r>
      <t>Mora, C.I., Driese, S.G., and Colarusso, L.A., 1996, Middle and Late Paleozoic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from soil carbonate and organic matter: Science, v. 271, p. 1105-1107.</t>
    </r>
  </si>
  <si>
    <r>
      <t>Nordt, L., Atchley, S., and Dworkin, S.I., 2002, Paleosol barometer indicates extreme fluctuations in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across the Cretaceous-Tertiary boundary: Geology, v. 30, p. 703-706.</t>
    </r>
  </si>
  <si>
    <r>
      <t xml:space="preserve">Robinson, S.A., Andrews, J.E., Hesselbo, S.P., Radley, J.D., Dennis, P.F., Harding, I.C., and Allen, P., 2002, Atmospheric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and depositional environment from stable-isotope geochemistry of calcrete nodules (Barremian, Lower Cretaceous, Wealden Beds, England): Journal of the Geological Society, London, v. 159, p. 215-224.</t>
    </r>
  </si>
  <si>
    <r>
      <t>Royer, D.L., 2003, Estimating latest Cretaceous and Tertiary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 from stomatal indices, </t>
    </r>
    <r>
      <rPr>
        <i/>
        <sz val="11"/>
        <rFont val="Arial"/>
        <family val="2"/>
      </rPr>
      <t>in</t>
    </r>
    <r>
      <rPr>
        <sz val="11"/>
        <rFont val="Arial"/>
        <family val="2"/>
      </rPr>
      <t xml:space="preserve"> Wing, S.L., Gingerich, P.D., Schmitz, B., and Thomas, E., eds., Causes and Consequences of Globally Warm Climates in the Early Paleogene: Boulder, Colorado, Geological Society of America Special Paper 369, p. 79-93.</t>
    </r>
  </si>
  <si>
    <r>
      <t>Sinha, A., and Stott, L.D., 1994, New atmospheric pCO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from paleosols during the late Paleocene/early Eocene global warming interval: Global and Planetary Change, v. 9, p. 297-307.</t>
    </r>
  </si>
  <si>
    <r>
      <t>Sun, B., Xiao, L., Xie, S., Deng, S., Wang, Y., Jia, H., Turner, S., 2007, Quantitative analysis of paleoatmospheric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 based on stomatal characters of fossil </t>
    </r>
    <r>
      <rPr>
        <i/>
        <sz val="11"/>
        <rFont val="Arial"/>
        <family val="2"/>
      </rPr>
      <t>Ginkgo</t>
    </r>
    <r>
      <rPr>
        <sz val="11"/>
        <rFont val="Arial"/>
        <family val="2"/>
      </rPr>
      <t xml:space="preserve"> from Jurassic to Cretaceous in China: Acta Geologica Sinica, v. 81, p. 931-939.</t>
    </r>
  </si>
  <si>
    <r>
      <t xml:space="preserve">   Tabor, N.J., Yapp, C.J., and Montañez, I.P., 2004, Goethite, calcite and organic matter from Permian and Triassic soils: Carbon isotopes and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concentrations: Geochimica et Cosmochimica Acta, v. 68, p. 1503-1517.</t>
    </r>
  </si>
  <si>
    <r>
      <t xml:space="preserve">   Tabor, N.J., and Yapp, C.J., 2005, Coexisting goethite and gibbsite from a high-paleolatitude (55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N) Late Paleocene laterite: Concentration and </t>
    </r>
    <r>
      <rPr>
        <vertAlign val="superscript"/>
        <sz val="11"/>
        <rFont val="Arial"/>
        <family val="2"/>
      </rPr>
      <t>12</t>
    </r>
    <r>
      <rPr>
        <sz val="11"/>
        <rFont val="Arial"/>
        <family val="2"/>
      </rPr>
      <t>C/</t>
    </r>
    <r>
      <rPr>
        <vertAlign val="superscript"/>
        <sz val="11"/>
        <rFont val="Arial"/>
        <family val="2"/>
      </rPr>
      <t>12</t>
    </r>
    <r>
      <rPr>
        <sz val="11"/>
        <rFont val="Arial"/>
        <family val="2"/>
      </rPr>
      <t>C ratios of occluded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and associated organic matter: Geochimica et Cosmochimica Acta, v. 69, p. 5495-5510.</t>
    </r>
  </si>
  <si>
    <r>
      <t>Tanner, L.H., Hubert, J.F., Coffey, B.P., and McInerney, D.P., 2001, Stability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across the Triassic/Jurassic boundary: Nature, v. 411, p. 675-677.</t>
    </r>
  </si>
  <si>
    <r>
      <t xml:space="preserve">Vörding, B., and Kerp, H., 2008, Stomatal indices of </t>
    </r>
    <r>
      <rPr>
        <i/>
        <sz val="11"/>
        <rFont val="Arial"/>
        <family val="2"/>
      </rPr>
      <t>Peltaspermum martinsii</t>
    </r>
    <r>
      <rPr>
        <sz val="11"/>
        <rFont val="Arial"/>
        <family val="2"/>
      </rPr>
      <t xml:space="preserve"> (Pteridospermopsida, Peltaspermaceae) from the Upper Permian Bletterbach Gorge and their possible applicability as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proxies: Neues Jahrbuch Für Geologie und Paläontologie Abhandlungen, v. 248, p. 245-255.</t>
    </r>
  </si>
  <si>
    <r>
      <t>Yapp, C.J., and Poths, H., 1996, Carbon isotopes in continental weathering environments and variations in ancient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pressure: Earth and Planetary Science Letters, v. 137, p. 71-82.</t>
    </r>
  </si>
  <si>
    <r>
      <t>Yapp, C.J., 2004, Fe(CO</t>
    </r>
    <r>
      <rPr>
        <vertAlign val="subscript"/>
        <sz val="11"/>
        <rFont val="Arial"/>
        <family val="2"/>
      </rPr>
      <t>3</t>
    </r>
    <r>
      <rPr>
        <sz val="11"/>
        <rFont val="Arial"/>
        <family val="2"/>
      </rPr>
      <t>)OH in goethite from a mid-latitude North American Oxisol: Estimate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 in the Early Eocene "climatic optimum": Geochimica et Cosmochimica Acta, v. 68, p. 935-947.</t>
    </r>
  </si>
  <si>
    <t>Beerling et al., 1998</t>
  </si>
  <si>
    <t>Chen et al., 2001</t>
  </si>
  <si>
    <r>
      <t xml:space="preserve">Beerling, D.J., McElwain, J.C., and Osborne, C.P., 1998, Stomatal responses of the 'living fossil' </t>
    </r>
    <r>
      <rPr>
        <i/>
        <sz val="11"/>
        <rFont val="Arial"/>
        <family val="2"/>
      </rPr>
      <t>Ginkgo biloba</t>
    </r>
    <r>
      <rPr>
        <sz val="11"/>
        <rFont val="Arial"/>
        <family val="2"/>
      </rPr>
      <t xml:space="preserve"> L. to changes in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concentrations: Journal of Experimental Botany, v. 49, p. 1603-1607.</t>
    </r>
  </si>
  <si>
    <r>
      <t xml:space="preserve">Chen, L.-Q., Li, C.-S., Chaloner, W.G., Beerling, D.J., Sun, Q.-G., Collinson, M.E., and Mitchell, P.L., 2001, Assessing the potential for the stomatal characters of extant and fossil </t>
    </r>
    <r>
      <rPr>
        <i/>
        <sz val="11"/>
        <rFont val="Arial"/>
        <family val="2"/>
      </rPr>
      <t>Ginkgo</t>
    </r>
    <r>
      <rPr>
        <sz val="11"/>
        <rFont val="Arial"/>
        <family val="2"/>
      </rPr>
      <t xml:space="preserve"> leaves to signal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change: American Journal of Botany, v. 88, p. 1309-1315.</t>
    </r>
  </si>
  <si>
    <t>Cerling, 1992</t>
  </si>
  <si>
    <t>Cerling, 1991</t>
  </si>
  <si>
    <t>Lee, 1999</t>
  </si>
  <si>
    <t>Koch et al., 1992</t>
  </si>
  <si>
    <t>Muchez et al., 1993</t>
  </si>
  <si>
    <t>Ekart et al., 1999</t>
  </si>
  <si>
    <t>McElwain, 1998</t>
  </si>
  <si>
    <t>Royer et al., 2001</t>
  </si>
  <si>
    <t>Kürschner et al., 2001</t>
  </si>
  <si>
    <t>Reference</t>
  </si>
  <si>
    <t xml:space="preserve"> </t>
  </si>
  <si>
    <t>Robinson et al., 2002</t>
  </si>
  <si>
    <t>Nordt et al., 2002</t>
  </si>
  <si>
    <t>Beerling, 2002</t>
  </si>
  <si>
    <t>Tanner et al., 2001</t>
  </si>
  <si>
    <t>Greenwood et al., 2003</t>
  </si>
  <si>
    <t>Age</t>
  </si>
  <si>
    <t>(Ma)</t>
  </si>
  <si>
    <t>(ppm)</t>
  </si>
  <si>
    <t>Mora et al., 1996</t>
  </si>
  <si>
    <t>Andrews et al., 1995</t>
  </si>
  <si>
    <t>McElwain et al., 1999</t>
  </si>
  <si>
    <t>Sinha &amp; Stott, 1994</t>
  </si>
  <si>
    <t>MS</t>
  </si>
  <si>
    <t>Reference list</t>
  </si>
  <si>
    <t>Andrews, J.E., Tandon, S.K., and Dennis, P.F., 1995, Concentration of carbon dioxide in the Late Cretaceous atmosphere: Journal of the Geological Society, London, v. 152, p. 1-3.</t>
  </si>
  <si>
    <t>Beerling, D.J., and Royer, D.L., 2002, Fossil plants as indicators of the Phanerozoic global carbon cycle: Annual Review of Earth and Planetary Sciences, v. 30, p. 527-556.</t>
  </si>
  <si>
    <t>Cerling, T.E., 1991, Carbon dioxide in the atmosphere: Evidence from Cenozoic and Mesozoic paleosols: American Journal of Science, v. 291, p. 377-400.</t>
  </si>
  <si>
    <t>Ekart, D.D., Cerling, T.E., Montañez, I.P., and Tabor, N.J., 1999, A 400 million year carbon isotope record of pedogenic carbonate: implications for paleoatmospheric carbon dioxide: American Journal of Science, v. 299, p. 805-827.</t>
  </si>
  <si>
    <t>Koch, P.L., Zachos, J.C., and Gingerich, P.D., 1992, Correlation between isotope records in marine and continental carbon reservoirs near the Palaeocene/Eocene boundary: Nature, v. 358, p. 319-322.</t>
  </si>
  <si>
    <t>Lee, Y.I., 1999, Stable isotopic composition of calcic paleosols of the Early Cretaceous Hasandong Formation, southeastern Korea: Palaeogeography, Palaeoclimatology, Palaeoecology, v. 150, p. 123-133.</t>
  </si>
  <si>
    <t>Lee, Y.I., and Hisada, K., 1999, Stable isotopic composition of pedogenic carbonates of the Early Cretaceous Shimonoseki Subgroup, western Honshu, Japan: Palaeogeography, Palaeoclimatology, Palaeoecology, v. 153, p. 127-138.</t>
  </si>
  <si>
    <t>McElwain, J.C., Beerling, D.J., and Woodward, F.I., 1999, Fossil plants and global warming at the Triassic-Jurassic boundary: Science, v. 285, p. 1386-1390.</t>
  </si>
  <si>
    <t xml:space="preserve">            Pearson, P.N., and Palmer, M.R., 2000, Atmospheric carbon dioxide concentrations over the past 60 million years: Nature, v. 406, p. 695-699.</t>
  </si>
  <si>
    <t>Platt, N.H., 1989, Lacustrine carbonates and pedogenesis: sedimentology and origin of palustrine deposits from the Early Cretaceous Rupelo Formation, W. Cameros Basin, N. Spain: Sedimentology, v. 36, p. 665-684.</t>
  </si>
  <si>
    <t>van der Burgh, J., Visscher, H., Dilcher, D.L., and Kürschner, W.M., 1993, Paleoatmospheric signatures in Neogene fossil leaves: Science, v. 260, p. 1788-1790.</t>
  </si>
  <si>
    <t>Beerling &amp; Royer, 2002</t>
  </si>
  <si>
    <t>Driese et al., 2000</t>
  </si>
  <si>
    <r>
      <t>CO</t>
    </r>
    <r>
      <rPr>
        <b/>
        <vertAlign val="subscript"/>
        <sz val="10"/>
        <rFont val="Arial"/>
        <family val="2"/>
      </rPr>
      <t>2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</si>
  <si>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low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</si>
  <si>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high</t>
    </r>
  </si>
  <si>
    <t>Ghosh, P., Bhattacharya, S.K., and Jani, R.A., 1995, Palaeoclimate and palaeovegetation in central India during the Upper Cretaceous based on stable isotope composition of the palaeosol carbonates: Palaeogeography, Palaeoclimatology, Palaeoecology, v. 114, p. 285-296.</t>
  </si>
  <si>
    <t>Nordt et al., 2003</t>
  </si>
  <si>
    <t>Tabor et al., 2004</t>
  </si>
  <si>
    <t>old</t>
  </si>
  <si>
    <t>McElwain et al., 2005</t>
  </si>
  <si>
    <t>McElwain, J.C., Wade-Murphy, J., and Hesselbo, S.P., 2005, Changes in carbon dioxide during an oceanic anoxic event linked to intrusion into Gondwana coals: Nature, v. 435, p. 479-482.</t>
  </si>
  <si>
    <t>young</t>
  </si>
  <si>
    <t>Haworth et al., 2005</t>
  </si>
  <si>
    <t>Cox et al., 2001</t>
  </si>
  <si>
    <t>Cox, J.E., Railsback, L.B., and Gordon, E.A., 2001, Evidence from Catskill pedogenic carbonates for a rapid large Devonian decrease in atmospheric carbon dioxide concentrations: Northeastern Geology and Environmental Sciences, v. 23, p. 91-102.</t>
  </si>
  <si>
    <t>Ghosh et al., 2005 (and 1995, 2001)</t>
  </si>
  <si>
    <t>Lowenstein &amp; Demicco, 2006</t>
  </si>
  <si>
    <t>Montañez et al., 2007</t>
  </si>
  <si>
    <t>Prochnow et al., 2006</t>
  </si>
  <si>
    <t>Prochnow, S.J., Nordt, L.C., Atchley, S.C., and Hudec, M.R., 2006, Multi-proxy paleosol evidence for middle and late Triassic climate trends in eastern Utah: Palaeogeography, Palaeoclimatology, Palaeoecology, v. 232, p. 53-72.</t>
  </si>
  <si>
    <t>Kürschner et al., 2008</t>
  </si>
  <si>
    <t>Fletcher et al., 2008</t>
  </si>
  <si>
    <r>
      <t>n</t>
    </r>
    <r>
      <rPr>
        <b/>
        <sz val="10"/>
        <rFont val="Arial"/>
        <family val="2"/>
      </rPr>
      <t xml:space="preserve"> = </t>
    </r>
  </si>
  <si>
    <r>
      <t>STOMATAL INDICES/RATIOS</t>
    </r>
    <r>
      <rPr>
        <b/>
        <sz val="10"/>
        <color indexed="8"/>
        <rFont val="Arial"/>
        <family val="2"/>
      </rPr>
      <t/>
    </r>
  </si>
  <si>
    <t>Sodium carbonates</t>
  </si>
  <si>
    <t>Kürschner, W.M., Kvacek, Z., and Dilcher, D.L., 2008, The impact of Miocene atmospheric carbon dioxide fluctuations on climate and the evolution of terrestrial ecosystems: Proceedings of the National Academy of Sciences USA, v. 105, p. 449-453.</t>
  </si>
  <si>
    <t>Fletcher, B.J., Brentnall, S.J., Anderson, C.W., Berner, R.A., and Beerling, D.J., 2008, Atmospheric carbon dioxide linked with Mesozoic and early Cenozoic climate change: Nature Geoscience, v. 1, p. 43-48.</t>
  </si>
  <si>
    <t>total data points =</t>
  </si>
  <si>
    <t>Sun et al., 2007</t>
  </si>
  <si>
    <t>Cleveland et al., 2008</t>
  </si>
  <si>
    <t>GR</t>
  </si>
  <si>
    <t>Cleveland, D.M., Nordt, L.C., Dworkin, S.I., and Atchley, S.C., 2008, Pedogenic carbonate isotopes as evidence for extreme climatic events preceding the Triassic-Jurassic boundary: Implications for the biotic crisis?: Geological Society of America Bulletin, v. 120, p. 1408-1415.</t>
  </si>
  <si>
    <t>Passalia, 2009</t>
  </si>
  <si>
    <r>
      <t xml:space="preserve">Feng, W., Yapp, C.J., 2009, Paleoenvironmental implications of concentration and </t>
    </r>
    <r>
      <rPr>
        <vertAlign val="superscript"/>
        <sz val="11"/>
        <rFont val="Arial"/>
        <family val="2"/>
      </rPr>
      <t>13</t>
    </r>
    <r>
      <rPr>
        <sz val="11"/>
        <rFont val="Arial"/>
        <family val="2"/>
      </rPr>
      <t>C/</t>
    </r>
    <r>
      <rPr>
        <vertAlign val="superscript"/>
        <sz val="11"/>
        <rFont val="Arial"/>
        <family val="2"/>
      </rPr>
      <t>12</t>
    </r>
    <r>
      <rPr>
        <sz val="11"/>
        <rFont val="Arial"/>
        <family val="2"/>
      </rPr>
      <t>C ratios of Fe(CO</t>
    </r>
    <r>
      <rPr>
        <vertAlign val="subscript"/>
        <sz val="11"/>
        <rFont val="Arial"/>
        <family val="2"/>
      </rPr>
      <t>3</t>
    </r>
    <r>
      <rPr>
        <sz val="11"/>
        <rFont val="Arial"/>
        <family val="2"/>
      </rPr>
      <t>)OH in goethite from a mid-latitude Cenomanian laterite in southwestern Minnesota: Geochimica et Cosmochimica Acta, v. 73, p. 2559-2580.</t>
    </r>
  </si>
  <si>
    <t>early Carnian</t>
  </si>
  <si>
    <t>mid. Carnian</t>
  </si>
  <si>
    <t>late Rhaetian</t>
  </si>
  <si>
    <t>late Kimmeridgian</t>
  </si>
  <si>
    <t>mid. Tithonian</t>
  </si>
  <si>
    <t>early Berriasian</t>
  </si>
  <si>
    <t>mid. Berriasian</t>
  </si>
  <si>
    <t>late Barremian</t>
  </si>
  <si>
    <t>early Aptian</t>
  </si>
  <si>
    <t>late Aptian</t>
  </si>
  <si>
    <t>early Lutetian</t>
  </si>
  <si>
    <t>middle Priabonian</t>
  </si>
  <si>
    <t>late Priabonian</t>
  </si>
  <si>
    <t>late Serravallian</t>
  </si>
  <si>
    <t>late Zanclean</t>
  </si>
  <si>
    <r>
      <t>Quan, C., Sun, C., Sun, Y., and Sun, G. 2009. High resolution estimates of paleo-CO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through the Campanian (Late Cretaceous) based on </t>
    </r>
    <r>
      <rPr>
        <i/>
        <sz val="11"/>
        <rFont val="Arial"/>
        <family val="2"/>
      </rPr>
      <t>Ginkgo</t>
    </r>
    <r>
      <rPr>
        <sz val="11"/>
        <rFont val="Arial"/>
        <family val="2"/>
      </rPr>
      <t xml:space="preserve"> cuticles. Cretaceous Research, v. 30, p. 424-428.</t>
    </r>
  </si>
  <si>
    <t>stomatal ratio</t>
  </si>
  <si>
    <r>
      <t xml:space="preserve">Passalia, M.G. 2009. Cretaceous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estimation from stomatal frequency analysis of gymnosperm leaves of Patagonia, Argentina: Palaeogeography, Palaeoclimatology, Palaeoecology, v. 273, p. 17-24.</t>
    </r>
  </si>
  <si>
    <t>Retallack, G.J., 2009a, Greenhouse crises of the past 300 million years: GSA Bulletin, v. 121, p. 1441-1455.</t>
  </si>
  <si>
    <r>
      <t>Retallack, G.J., 2009b, Refining a pedogenic-carbonate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paleobarometer to quantify a middle Miocene greenhouse spike: Palaeogeography, Palaeoclimatology, Palaeoecology, v. 281, p. 57-65.</t>
    </r>
  </si>
  <si>
    <t>Retallack, 2009b</t>
  </si>
  <si>
    <t>Retallack, 2009a</t>
  </si>
  <si>
    <t>Pearson et al., 2009</t>
  </si>
  <si>
    <t>Yan et al., 2009</t>
  </si>
  <si>
    <r>
      <t>Yan, D.F., Sun, B.N., Xie, S.P., Li, X.C., and Wen, W.W., 2009, Response to paleoatmospheric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 of </t>
    </r>
    <r>
      <rPr>
        <i/>
        <sz val="11"/>
        <rFont val="Arial"/>
        <family val="2"/>
      </rPr>
      <t>Solenites vimineus</t>
    </r>
    <r>
      <rPr>
        <sz val="11"/>
        <rFont val="Arial"/>
        <family val="2"/>
      </rPr>
      <t xml:space="preserve"> (Phillips) Harris (Ginkgophyta) from the Middle Jurassic of the Yaojie Basin, Gansu Province, China: Science in China Series D: Earth Sciences, v. 52, p. 2029-2039.</t>
    </r>
  </si>
  <si>
    <t xml:space="preserve">            Pearson, P.N., Foster, G.L., and Wade, B.S., 2009, Atmospheric carbon dioxide through the Eocene-Oligocene climate transition: Nature, v. 461, p. 1110-1113.</t>
  </si>
  <si>
    <r>
      <t>Beerling, D.J., Fox, A., and Anderson, C.W., 2009, Quantitative uncertainty analyses of ancient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from fossil leaves: American Journal of Science, v. 309, p. 775-787.</t>
    </r>
  </si>
  <si>
    <t>Barclay et al., 2010</t>
  </si>
  <si>
    <r>
      <t>Tripati, A.K., Roberts, C.D., and Eagle, R.A., 2009, Coupling of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and ice sheet stability over major climate transitions of the last 20 million years: Science, v. 326, p. 1394-1397.</t>
    </r>
  </si>
  <si>
    <t>Beerling et al., 2002 (updated by Beerling et al., 2009)</t>
  </si>
  <si>
    <t>Royer, 2003 (updated by Beerling et al., 2009)</t>
  </si>
  <si>
    <t>Kürschner et al., 2008 (updated by Beerling et al., 2009)</t>
  </si>
  <si>
    <t>Quan et al., 2009</t>
  </si>
  <si>
    <r>
      <t>Barclay, R.S., McElwain, J.C., and Sageman, B.B., 2010, Carbon sequestration activated by a volcanic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pulse during Ocean Anoxic Event 2: Nature Geoscience, v. 3, p. 205-208.</t>
    </r>
  </si>
  <si>
    <t>Breecker, D.O., Sharp, Z.D., and McFadden, L.D., 2009, Seasonal bias in the formation and stable isotopic composition of pedogenic carbonate in modern soils from central New Mexico, USA: Geological Society of America Bulletin, v. 121, p. 630-640.</t>
  </si>
  <si>
    <r>
      <t>Smith, R.Y., Greenwood, D.R., and Basinger, J.F., 2010, Estimating paleoatmospheric pCO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during the Early Eocene Climatic Optimum from stomatal frequency of </t>
    </r>
    <r>
      <rPr>
        <i/>
        <sz val="11"/>
        <rFont val="Arial"/>
        <family val="2"/>
      </rPr>
      <t>Ginkgo</t>
    </r>
    <r>
      <rPr>
        <sz val="11"/>
        <rFont val="Arial"/>
        <family val="2"/>
      </rPr>
      <t>, Okanagan Highlands, British Columbia, Canada: Palaeogeography, Palaeoclimatology, Palaeoecology, v. 293, p. 120-131.</t>
    </r>
  </si>
  <si>
    <t>Smith et al., 2010</t>
  </si>
  <si>
    <t>[unbounded]</t>
  </si>
  <si>
    <t>Bonis et al., 2010</t>
  </si>
  <si>
    <r>
      <t>Bonis, N.R., Van Konijnenburg-Van Cittert, J.H.A., and Kürschner, W.M., 2010, Changing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conditions during the end-Triassic inferred from stomatal frequency analysis on </t>
    </r>
    <r>
      <rPr>
        <i/>
        <sz val="11"/>
        <rFont val="Arial"/>
        <family val="2"/>
      </rPr>
      <t>Lepidopteris ottonis</t>
    </r>
    <r>
      <rPr>
        <sz val="11"/>
        <rFont val="Arial"/>
        <family val="2"/>
      </rPr>
      <t xml:space="preserve"> (Goeppert) Schimper and </t>
    </r>
    <r>
      <rPr>
        <i/>
        <sz val="11"/>
        <rFont val="Arial"/>
        <family val="2"/>
      </rPr>
      <t>Ginkgoites taeniatus</t>
    </r>
    <r>
      <rPr>
        <sz val="11"/>
        <rFont val="Arial"/>
        <family val="2"/>
      </rPr>
      <t xml:space="preserve"> (Braun) Harris: Palaeogeography, Palaeoclimatology, Palaeoecology, v. 295, p. 146-161.</t>
    </r>
  </si>
  <si>
    <t>Suchecki, R.K., Hubert, J.F., and Birney de Wit, C.C., 1988, Isotopic imprint of climate and hydrogeochemistry on terrestrial strata of the Triassic-Jurassic Hartford and Fundy Rift Basins: Journal of Sedimentary Petrology, v. 58, p. 801-811.</t>
  </si>
  <si>
    <t>Leier et al., 2009</t>
  </si>
  <si>
    <t>Leier, A., Quade, J., DeCelles, P., and Kapp, P., 2009, Stable isotopic results from paleosol carbonate in South Asia: paleoenvironmental reconstructions and selective alteration: Earth and Planetary Science Letters, v. 279, p. 242-254.</t>
  </si>
  <si>
    <t>Sandler, 2006</t>
  </si>
  <si>
    <r>
      <t>Sandler, A., 2006, Estimates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during the mid-Turonian derived from stable isotope composition of paleosol calcite from Israel, </t>
    </r>
    <r>
      <rPr>
        <i/>
        <sz val="11"/>
        <rFont val="Arial"/>
        <family val="2"/>
      </rPr>
      <t>in</t>
    </r>
    <r>
      <rPr>
        <sz val="11"/>
        <rFont val="Arial"/>
        <family val="2"/>
      </rPr>
      <t xml:space="preserve"> Alonso-Zarza, A. M., and Tanner, L. H., eds., Paleoenvironmental Record and Applications of Calcretes and Palustrine Carbonates: Boulder, Colorado, Geological Society of America Special Paper 416, p. 75-88.</t>
    </r>
  </si>
  <si>
    <r>
      <t>Henderiks, J., and Pagani, M., 2008, Coccolithophore cell size and the Paleogene decline in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Earth and Planetary Science Letters, v. 269, p. 575-583.</t>
    </r>
  </si>
  <si>
    <t>Seki et al., 2010</t>
  </si>
  <si>
    <r>
      <t xml:space="preserve">Seki, O., Foster, G.L., Schmidt, D.N., Mackensen, A., Kawamura, K., and Pancost, R.D., 2010, Alkenone and boron-based Pliocene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records: Earth and Planetary Science Letters, v. 292, p. 201-211.</t>
    </r>
  </si>
  <si>
    <r>
      <t>Lowenstein, T.K., and Demicco, R.V., 2006, Elevated Eocene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and its subsequent decline: Science, v. 313, p. 1928.</t>
    </r>
  </si>
  <si>
    <t>1. Ekart et al. (1999) compilation: original sources used when possible; some data from the Permo-Carboniferous have been supplanted by data from Tabor et al. (2004) and Montañez et al. (2007).</t>
  </si>
  <si>
    <t>Notes</t>
  </si>
  <si>
    <t>Klochko, K., Kaufman, A.J., Yao, W.S., Byrne, R.H., and Tossell, J.A., 2006, Experimental measurement of boron isotope fractionation in seawater: Earth and Planetary Science Letters, v. 248, p. 276-285.</t>
  </si>
  <si>
    <r>
      <t xml:space="preserve">Klochko, K., Cody, G.D., Tossell, J.A., Dera, P., and Kaufman, A.J., 2009, Re-evaluating boron speciation in biogenic calcite and aragonite using </t>
    </r>
    <r>
      <rPr>
        <vertAlign val="superscript"/>
        <sz val="11"/>
        <rFont val="Arial"/>
        <family val="2"/>
      </rPr>
      <t>11</t>
    </r>
    <r>
      <rPr>
        <sz val="11"/>
        <rFont val="Arial"/>
        <family val="2"/>
      </rPr>
      <t>B MAS NMR: Geochimica et Cosmochimica Acta, v. 73, p. 1890-1900.</t>
    </r>
  </si>
  <si>
    <t>Lemarchand, D., Gaillardet, J., Lewin, É., and Allègre, C.J., 2000, The influence of rivers on marine boron isotopes and implications for reconstructing past ocean pH: Nature, v. 408, p. 951-954.</t>
  </si>
  <si>
    <r>
      <t>Pagani, M., Lemarchand, D., Spivack, A., and Gaillardet, J., 2005a, A critical evaluation of the boron isotope-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 xml:space="preserve">H proxy: The accuracy of ancient ocean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H estimates: Geochimica et Cosmochimica Acta, v. 69, p. 953-961.</t>
    </r>
  </si>
  <si>
    <t xml:space="preserve">            Pearson, P.N., Ditchfield, P.W., Singano, J., Harcourt-Brown, K.G., Nicholas, C.J., Olsson, R.K., Shackleton, N.J., and Hall, M.A., 2001, Warm tropical sea surface temperatures in the Late Cretaceous and Eocene epochs: Nature, v. 413, p. 481-487.</t>
  </si>
  <si>
    <r>
      <t>Royer, D.L., Berner, R.A., and Beerling, D.J., 2001a, Phanerozoic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change: evaluating geochemical and paleobiological approaches: Earth-Science Reviews, v. 54, p. 349-392.</t>
    </r>
  </si>
  <si>
    <r>
      <t>Royer, D.L., Wing, S.L., Beerling, D.J., Jolley, D.W., Koch, P.L., Hickey, L.J., and Berner, R.A., 2001b, Paleobotanical evidence for near present-day levels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during part of the Tertiary: Science, v. 292, p. 2310-2313.</t>
    </r>
  </si>
  <si>
    <r>
      <t>Rustad, J.R., Bylaska, E.J., Jackson, V.E., and Dixon, D.A., 2010, Calculation of boron-isotope fractionation between B(OH)</t>
    </r>
    <r>
      <rPr>
        <vertAlign val="subscript"/>
        <sz val="11"/>
        <rFont val="Arial"/>
        <family val="2"/>
      </rPr>
      <t>3</t>
    </r>
    <r>
      <rPr>
        <sz val="11"/>
        <rFont val="Arial"/>
        <family val="2"/>
      </rPr>
      <t>(aq) and B(OH)</t>
    </r>
    <r>
      <rPr>
        <vertAlign val="subscript"/>
        <sz val="11"/>
        <rFont val="Arial"/>
        <family val="2"/>
      </rPr>
      <t>4</t>
    </r>
    <r>
      <rPr>
        <vertAlign val="superscript"/>
        <sz val="11"/>
        <rFont val="Arial"/>
        <family val="2"/>
      </rPr>
      <t>-</t>
    </r>
    <r>
      <rPr>
        <sz val="11"/>
        <rFont val="Arial"/>
        <family val="2"/>
      </rPr>
      <t>(aq): Geochimica et Cosmochimica Acta, v. 74, p. 2843-2850.</t>
    </r>
  </si>
  <si>
    <r>
      <t>Tipple, B.J., Meyers, S.R., and Pagani, M., 2010, Carbon isotope ratio of Cenozoic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a comparative evaluation of available geochemical proxies: Paleoceanography, v. 25, p. PA3202, doi:10.1029/2009PA001851.</t>
    </r>
  </si>
  <si>
    <t>Doria et al., 2011</t>
  </si>
  <si>
    <r>
      <t>Doria, G., Royer, D.L., Wolfe, A.P., Fox, A., Westgate, J.A., Beerling, D.J. 2011. Declining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during the late Middle Eocene climate transition. American Journal of Science, v. 311, p. 63-75</t>
    </r>
  </si>
  <si>
    <t>2. Most pedogenic carbonate estimates recalculated using a soil respiration concentration (S[z]) of 2000 ppm (Breecker et al., 2009).</t>
  </si>
  <si>
    <r>
      <t xml:space="preserve">Schaller, M.F., Wright, J.D., and Kent, D.V., 2011, Atmospheric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perturbations associated with the Central Atlantic Magmatic Province: Science, v. 331, p. 1404-1408.</t>
    </r>
  </si>
  <si>
    <t>Schaller et al., 2011</t>
  </si>
  <si>
    <r>
      <t>Steinthorsdottir, M., Jeram, A.J., and McElwain, J.C., 2011, Extremely elevated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concentrations at the Triassic/Jurassic boundary: Palaeogeography Palaeoclimatology Palaeoecology, v. 308, p. 418-432.</t>
    </r>
  </si>
  <si>
    <t>Steinthorsdottir et al., 2011</t>
  </si>
  <si>
    <t>Stults et al., 2011</t>
  </si>
  <si>
    <r>
      <t>Stults, D.Z., Wagner-Cremer, F., and Axsmith, B.J., 2011, Atmospheric paleo-CO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based on </t>
    </r>
    <r>
      <rPr>
        <i/>
        <sz val="11"/>
        <rFont val="Arial"/>
        <family val="2"/>
      </rPr>
      <t>Taxodium distichum</t>
    </r>
    <r>
      <rPr>
        <sz val="11"/>
        <rFont val="Arial"/>
        <family val="2"/>
      </rPr>
      <t xml:space="preserve"> (Cupressaceae) fossils from the Miocene and Pliocene of eastern North America: Palaeogeography Palaeoclimatology Palaeoecology, v. 309, p. 327-332.</t>
    </r>
  </si>
  <si>
    <r>
      <t>Grein, M., Konrad, W., Wilde, V., Utescher, T., and Roth-Nebelsick, A., 2011, Reconstruction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during the early Middle Eocene by application of a gas exchange model to fossil plants from the Messel Formation, Germany: Palaeogeography Palaeoclimatology Palaeoecology, v. 309, p. 383-391.</t>
    </r>
  </si>
  <si>
    <t>Wan et al., 2011</t>
  </si>
  <si>
    <r>
      <t>Wan, C.B., Wang, D.H., Zhu, Z.P., and Quan, C., 2011, Trends of Santonian (Late Cretaceous)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and global mean land surface temperature: evidence from plant fossils: Science China Earth Sciences, v. 54, p. 1338-1345.</t>
    </r>
  </si>
  <si>
    <t>925A</t>
  </si>
  <si>
    <r>
      <t>Huang, C.M., Retallack, G.J., and Wang, S.C., 2012, Early Cretaceous pCO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levels recorded from pedogenic carbonates in China: Cretaceous Research, v. 33, p. 42-49.</t>
    </r>
  </si>
  <si>
    <t>Huang et al., 2012</t>
  </si>
  <si>
    <t>Hong, S.K., and Lee, Y.I., 2012, Evaluation of atmospheric carbon dioxide concentrations during the Cretaceous: Earth and Planetary Science Letters, v. 327-328, p. 23-28.</t>
  </si>
  <si>
    <t>Hong and Lee, 2012</t>
  </si>
  <si>
    <t>Lee &amp; Hisada, 1999  (updated by Hong and Lee, 2012)</t>
  </si>
  <si>
    <t>Gutierrez, K., and Sheldon, N.D., 2012, Paleoenvironmental reconstruction of Jurassic dinosaur habitats of the Vega Formation, Asturias, Spain: GSA Bulletin, v. 124, p. 596-610.</t>
  </si>
  <si>
    <t>Erdei, B., Utescher, T., Hably, L., Tamás, J., Roth-Nebelsick, A., and Grein, M., 2012, Early Oligocene continental climate of the Palaeogene Basin (Hungary and Slovenia) and the surrounding area: Turkish Journal of Earth Sciences, v. 21, p. 153-186.</t>
  </si>
  <si>
    <t>Foster et al., 2012</t>
  </si>
  <si>
    <r>
      <t>PALEOSOLS (</t>
    </r>
    <r>
      <rPr>
        <b/>
        <sz val="10"/>
        <color theme="0"/>
        <rFont val="Symbol"/>
        <family val="1"/>
        <charset val="2"/>
      </rPr>
      <t>d</t>
    </r>
    <r>
      <rPr>
        <b/>
        <vertAlign val="superscript"/>
        <sz val="10"/>
        <color theme="0"/>
        <rFont val="Arial"/>
        <family val="2"/>
      </rPr>
      <t>13</t>
    </r>
    <r>
      <rPr>
        <b/>
        <sz val="10"/>
        <color theme="0"/>
        <rFont val="Arial"/>
        <family val="2"/>
      </rPr>
      <t>C)</t>
    </r>
    <r>
      <rPr>
        <sz val="10"/>
        <rFont val="Arial"/>
        <family val="2"/>
      </rPr>
      <t/>
    </r>
  </si>
  <si>
    <r>
      <t>PHYTOPLANKTON/(FORAMS) (</t>
    </r>
    <r>
      <rPr>
        <b/>
        <sz val="10"/>
        <color theme="0"/>
        <rFont val="Symbol"/>
        <family val="1"/>
        <charset val="2"/>
      </rPr>
      <t>d</t>
    </r>
    <r>
      <rPr>
        <b/>
        <vertAlign val="superscript"/>
        <sz val="10"/>
        <color theme="0"/>
        <rFont val="Arial"/>
        <family val="2"/>
      </rPr>
      <t>13</t>
    </r>
    <r>
      <rPr>
        <b/>
        <sz val="10"/>
        <color theme="0"/>
        <rFont val="Arial"/>
        <family val="2"/>
      </rPr>
      <t>C)</t>
    </r>
    <r>
      <rPr>
        <b/>
        <sz val="10"/>
        <color indexed="8"/>
        <rFont val="Arial"/>
        <family val="2"/>
      </rPr>
      <t/>
    </r>
  </si>
  <si>
    <r>
      <t>MARINE BORON (</t>
    </r>
    <r>
      <rPr>
        <b/>
        <sz val="10"/>
        <color theme="0"/>
        <rFont val="Symbol"/>
        <family val="1"/>
        <charset val="2"/>
      </rPr>
      <t>d</t>
    </r>
    <r>
      <rPr>
        <b/>
        <vertAlign val="superscript"/>
        <sz val="10"/>
        <color theme="0"/>
        <rFont val="Arial"/>
        <family val="2"/>
      </rPr>
      <t>11</t>
    </r>
    <r>
      <rPr>
        <b/>
        <sz val="10"/>
        <color theme="0"/>
        <rFont val="Arial"/>
        <family val="2"/>
      </rPr>
      <t>B)</t>
    </r>
  </si>
  <si>
    <r>
      <t>LIVERWORTS (</t>
    </r>
    <r>
      <rPr>
        <b/>
        <sz val="10"/>
        <color theme="0"/>
        <rFont val="Symbol"/>
        <family val="1"/>
        <charset val="2"/>
      </rPr>
      <t>d</t>
    </r>
    <r>
      <rPr>
        <b/>
        <vertAlign val="superscript"/>
        <sz val="10"/>
        <color theme="0"/>
        <rFont val="Arial"/>
        <family val="2"/>
      </rPr>
      <t>13</t>
    </r>
    <r>
      <rPr>
        <b/>
        <sz val="10"/>
        <color theme="0"/>
        <rFont val="Arial"/>
        <family val="2"/>
      </rPr>
      <t>C)</t>
    </r>
  </si>
  <si>
    <t>S(z) used</t>
  </si>
  <si>
    <t>reported</t>
  </si>
  <si>
    <t>S(z)</t>
  </si>
  <si>
    <t>Wolfville Formation (Carnian-Norian)</t>
  </si>
  <si>
    <t>Suchecki et al., 1988 (reported in Ekart et al., 1999)</t>
  </si>
  <si>
    <t>Platt, 1989 (reported in Cerling, 1991)</t>
  </si>
  <si>
    <t>Berriasian</t>
  </si>
  <si>
    <t>New Haven Arkose (early to middle Nornian; also, nearby U-Pb date of 211.9 +/- 2.1; see Olsen et al., 2005)</t>
  </si>
  <si>
    <r>
      <t xml:space="preserve">Olsen, P. E., Whiteside, J. H., LeTourneau, P., and Huber, P., 2005, Jurassic cyclostratigraphy and paleontology of the Hartford Basin, </t>
    </r>
    <r>
      <rPr>
        <i/>
        <sz val="11"/>
        <rFont val="Arial"/>
        <family val="2"/>
      </rPr>
      <t>in</t>
    </r>
    <r>
      <rPr>
        <sz val="11"/>
        <rFont val="Arial"/>
        <family val="2"/>
      </rPr>
      <t xml:space="preserve"> McHone, N. W., and Peterson, M. J., eds., New England Intercollegiate Geological Conference: Guidebook for Field Trips in Connecticut, State Geological and Natural History Survey of Connecticut Guidebook No. 8,  p. 55-105.</t>
    </r>
  </si>
  <si>
    <t>late Miocene</t>
  </si>
  <si>
    <t>middle Miocene</t>
  </si>
  <si>
    <t>Pliocene</t>
  </si>
  <si>
    <t>early Eocene (Willwood Formation); magnetostratigraphy by Tauxe et al (1994 EPSL) suggests 55-52 Ma</t>
  </si>
  <si>
    <t>just after the PETM in the Bighorn Basin</t>
  </si>
  <si>
    <t>just before the PETM in the Bighorn Basin</t>
  </si>
  <si>
    <t>Lower Visean</t>
  </si>
  <si>
    <t>Sparnacian; just before the PETM</t>
  </si>
  <si>
    <t>Sparnacian; just after the PETM</t>
  </si>
  <si>
    <t>Maastrichtian (Lameta Beds)</t>
  </si>
  <si>
    <t>Maastrichtian</t>
  </si>
  <si>
    <t>Campanian</t>
  </si>
  <si>
    <t>Aptian</t>
  </si>
  <si>
    <t>Albian (from Ekart et al., 1999); Proctor Locality in Twin Mountains Formation (Lower Cretaceous)</t>
  </si>
  <si>
    <t>Kimmeridgian</t>
  </si>
  <si>
    <t>Early Jurassic</t>
  </si>
  <si>
    <t>Aalenian</t>
  </si>
  <si>
    <t>Carnian-Nornian</t>
  </si>
  <si>
    <t>Anisian-Ladinian</t>
  </si>
  <si>
    <t>Purvis, K., and Wright, V. P., 1991, Calcretes related to phreatophytic vegetation from the Middle Triassic Otter Sandstone of South West England: Sedimentology, v. 38, p. 539-551.</t>
  </si>
  <si>
    <t>Purvis &amp; Wright, 1991 (reported in Ekart et al., 1999)</t>
  </si>
  <si>
    <t>Ochoan</t>
  </si>
  <si>
    <t>Wolfcampian</t>
  </si>
  <si>
    <t>Late Pennsylvanian</t>
  </si>
  <si>
    <t>Kenny &amp; Neet, 1993</t>
  </si>
  <si>
    <t>Middle Devonian</t>
  </si>
  <si>
    <t>Miocene</t>
  </si>
  <si>
    <t>Miocene (Huete ?Formation, Spain)</t>
  </si>
  <si>
    <t>Late Oligocene (Salla Formation, Bolivia)</t>
  </si>
  <si>
    <t>Eocene (Claron Formation, Utah)</t>
  </si>
  <si>
    <t>early Paleocene (Rapp et al 1983 Journal of Geology, place the Javelina-Black Peaks contact in chron 26R)</t>
  </si>
  <si>
    <t>Turolian (Miocene); Mytilini Formation on Samos; radiometric date of 7.66 +/- 0.13</t>
  </si>
  <si>
    <t>Turolian [Chomateri?] (Miocene)</t>
  </si>
  <si>
    <t>Vallesian (Miocene); Nea Messimbria Formation</t>
  </si>
  <si>
    <t>Quade and Cerling, 1995 (reported in Ekart et al., 1999)</t>
  </si>
  <si>
    <t>Quade et al., 1994 (reported in Ekart et al., 1999)</t>
  </si>
  <si>
    <t>Quade, J., Solounias, N., and Cerling, T. E., 1994, Stable isotopic evidence from paleosol carbonates and fossil teeth in Greece for forest or woodlands over the past 11 Ma: Palaeogeography, Palaeoclimatology, Palaeoecology, v. 108, p. 41-53.</t>
  </si>
  <si>
    <r>
      <t>Quade, J., and Cerling, T. E., 1995, Expansion of C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 xml:space="preserve"> grasses in the Late Miocene of Northern Pakistan: evidence from stable isotopes in paleosols: Palaeogeography, Palaeoclimatology, Palaeoecology, v. 115, p. 91-116.</t>
    </r>
  </si>
  <si>
    <t>Miocene (difficult to determine more precise age from paper; probably precise to ~+/- 2 Ma)</t>
  </si>
  <si>
    <t>Ludlovian-Pridolian</t>
  </si>
  <si>
    <t>Late Devonian</t>
  </si>
  <si>
    <t>Famennian</t>
  </si>
  <si>
    <t>Visean-Namurian</t>
  </si>
  <si>
    <t>Late Mississippian</t>
  </si>
  <si>
    <t>Early Permian</t>
  </si>
  <si>
    <t>late Valanginian - early Albian</t>
  </si>
  <si>
    <t>mid-Turonian</t>
  </si>
  <si>
    <t>late Emsian</t>
  </si>
  <si>
    <t>Givetian</t>
  </si>
  <si>
    <t>Frasnian</t>
  </si>
  <si>
    <t>Silurian-Devonian boundary</t>
  </si>
  <si>
    <t>post-PETM</t>
  </si>
  <si>
    <t>pre-PETM</t>
  </si>
  <si>
    <t>Hettangian</t>
  </si>
  <si>
    <t>Lower Barremian</t>
  </si>
  <si>
    <t>Chron 33N</t>
  </si>
  <si>
    <t>Chron 30N</t>
  </si>
  <si>
    <t>Chron 29R</t>
  </si>
  <si>
    <t>Chron 29N</t>
  </si>
  <si>
    <t>Chron 28R</t>
  </si>
  <si>
    <t>Base at Campanian-Maastrichtian boundary; top at Chron 28R</t>
  </si>
  <si>
    <t>Lower Leonardian</t>
  </si>
  <si>
    <t>Upper Leonardian</t>
  </si>
  <si>
    <t>early middle Permian</t>
  </si>
  <si>
    <t>middle Triassic</t>
  </si>
  <si>
    <t>late Cretaceous</t>
  </si>
  <si>
    <t>Carnian (middle to upper Triassic)</t>
  </si>
  <si>
    <t>Norian</t>
  </si>
  <si>
    <t>Carnian</t>
  </si>
  <si>
    <t>Lower Anisian</t>
  </si>
  <si>
    <t>Rhaetian</t>
  </si>
  <si>
    <t>Late Norian</t>
  </si>
  <si>
    <t>magnetostratigraphy (and some biostratigraphy)</t>
  </si>
  <si>
    <t>earliest Late Cretaceous</t>
  </si>
  <si>
    <t>latest early Cretaceous (Aptian to Albian?)</t>
  </si>
  <si>
    <t>magnetostratigraphy (Newark Basin)</t>
  </si>
  <si>
    <t>Late Barremian</t>
  </si>
  <si>
    <t>Early Valanginian</t>
  </si>
  <si>
    <t>Early-middle Berriasian</t>
  </si>
  <si>
    <t>radiometric constraints and assumptions about linear sedimentation rates</t>
  </si>
  <si>
    <t>Hauterivian to Barremian</t>
  </si>
  <si>
    <t>Oxfordian to Kimmeridgian</t>
  </si>
  <si>
    <t>late Hemphillian</t>
  </si>
  <si>
    <t>Gutierrez &amp; Sheldon, 2012</t>
  </si>
  <si>
    <t>Cotton &amp; Sheldon, 2012</t>
  </si>
  <si>
    <t>Tiglian</t>
  </si>
  <si>
    <t>Late Reuverian</t>
  </si>
  <si>
    <t>Early Reuverian</t>
  </si>
  <si>
    <t>Late Brunssummian</t>
  </si>
  <si>
    <t>Early Brunssummian</t>
  </si>
  <si>
    <t>Susterian</t>
  </si>
  <si>
    <t>Middle Brunssummian</t>
  </si>
  <si>
    <t>Linne C</t>
  </si>
  <si>
    <t>Linne B</t>
  </si>
  <si>
    <t>Middle Jurassic</t>
  </si>
  <si>
    <t>Lutetian</t>
  </si>
  <si>
    <t>Siegenian-Emsian (Early Devonian)</t>
  </si>
  <si>
    <t>Westphalian B (Late Carboniferous)</t>
  </si>
  <si>
    <t>just after the T-J extinction</t>
  </si>
  <si>
    <t>during the T-J extinction</t>
  </si>
  <si>
    <t>just before the T-J extinction</t>
  </si>
  <si>
    <t>Early Middle Jurassic</t>
  </si>
  <si>
    <t>1.8 Myrs after the PETM (Age Model 2 in Wing et al., 2000); LJH 9915</t>
  </si>
  <si>
    <t>1.3 Myrs after the PETM (Age Model 2 in Wing et al., 2000); SLW LB</t>
  </si>
  <si>
    <t>0.4 Myrs after the PETM (Age Model 2 in Wing et al., 2000); SLW 9915</t>
  </si>
  <si>
    <t>0.1 Myrs after the PETM (Age Model 2 in Wing et al., 2000); SLW 9812</t>
  </si>
  <si>
    <t>0.1 Myrs before the PETM (Age Model 2 in Wing et al., 2000); SLW 8612</t>
  </si>
  <si>
    <t>0.1 Myrs before the PETM (Age Model 2 in Wing et al., 2000); SLW 9936</t>
  </si>
  <si>
    <t>0.1 Myrs before the PETM (Age Model 2 in Wing et al., 2000); SLW 9050</t>
  </si>
  <si>
    <t>0.1 Myrs before the PETM (Age Model 2 in Wing et al., 2000); SLW 9715</t>
  </si>
  <si>
    <t>0.2 Myrs before the PETM (Age Model 2 in Wing et al., 2000); SLW 9434</t>
  </si>
  <si>
    <t>0.4 Myrs before the PETM (Age Model 2 in Wing et al., 2000); SLW 9411</t>
  </si>
  <si>
    <t>0.5 Myrs before the PETM (Age Model 2 in Wing et al., 2000); SLW 9155</t>
  </si>
  <si>
    <t>0.6 Myrs before the PETM (Age Model 2 in Wing et al., 2000); LJH 72141-1</t>
  </si>
  <si>
    <t>0.7 Myrs before the PETM (Age Model 2 in Wing et al., 2000); SLW 993</t>
  </si>
  <si>
    <t>0.7 Myrs before the PETM (Age Model 2 in Wing et al., 2000); SLW 992</t>
  </si>
  <si>
    <t>0.7 Myrs before the PETM (Age Model 2 in Wing et al., 2000); SLW 991</t>
  </si>
  <si>
    <t>1.2 Myrs before the PETM (Age Model 2 in Wing et al., 2000); LJH 7132</t>
  </si>
  <si>
    <t>2.1 Myrs before the PETM (Age Model 2 in Wing et al., 2000); SLW 0025</t>
  </si>
  <si>
    <t>middle Tiffanian (Ti-3); Fox et al. (1990); Joffre Bridge</t>
  </si>
  <si>
    <t>middle Tiffanian (Ti-3); Fox et al. (1990); Burbank</t>
  </si>
  <si>
    <t>1.7 Myrs after the PETM (Age Model 2 in Wing et al., 2000); SLW H</t>
  </si>
  <si>
    <t>1.7 Myrs after the PETM (Age Model 2 in Wing et al., 2000); (stomatal ratio estimate); SLW H</t>
  </si>
  <si>
    <t>Puercan (Wing et al., 1995); LJH 7423</t>
  </si>
  <si>
    <t>35.2 m below the KTB; HCIIa floral zone; ~0.5 Myrs before KTB (Hicks et al., 2002); DMNH 566</t>
  </si>
  <si>
    <t>Puercan (Wing et al., 1995); LJH 7659</t>
  </si>
  <si>
    <t>radiometric dating (Raynolds et al., 2001, p. 21); DMNH 2360</t>
  </si>
  <si>
    <t>early Paleocene (Kvacek et al. 1994); Basilika</t>
  </si>
  <si>
    <t>Torrejonian-Tiffanian (Dunn, 2003); DMNH 2644</t>
  </si>
  <si>
    <t>radiometric constraints (Reidel &amp; Fecht 1986)</t>
  </si>
  <si>
    <t>Kazanian</t>
  </si>
  <si>
    <t>Westphalian</t>
  </si>
  <si>
    <t>Namurian</t>
  </si>
  <si>
    <t>Lower Jurassic (Hettangian)</t>
  </si>
  <si>
    <t>Upper Triassic (Rhaetian)</t>
  </si>
  <si>
    <t>Early Cretaceous (Valanginian-Hauterivian)</t>
  </si>
  <si>
    <t>late Early Eocene</t>
  </si>
  <si>
    <t>Pragian (Lower Devonian)</t>
  </si>
  <si>
    <t>Toarcian OAE</t>
  </si>
  <si>
    <t>early Hauterivian</t>
  </si>
  <si>
    <t>late Hauterivian</t>
  </si>
  <si>
    <t>early Barremian</t>
  </si>
  <si>
    <t>mid Aptian</t>
  </si>
  <si>
    <t>mid-late Aptian</t>
  </si>
  <si>
    <t>early-mid Albian</t>
  </si>
  <si>
    <t>late Albian</t>
  </si>
  <si>
    <t>Pleinsbachian</t>
  </si>
  <si>
    <t>Bajocian</t>
  </si>
  <si>
    <t>Late Oligocene</t>
  </si>
  <si>
    <t>Aquitanian</t>
  </si>
  <si>
    <t>Eggenburgian</t>
  </si>
  <si>
    <t>Ottnangian</t>
  </si>
  <si>
    <t>Karpartian</t>
  </si>
  <si>
    <t>Early Badenian</t>
  </si>
  <si>
    <t>Late Badenian</t>
  </si>
  <si>
    <t>Bessarabian</t>
  </si>
  <si>
    <t>OAE2; well constrained section (all during Cenomanian)</t>
  </si>
  <si>
    <t>radiometric dating (Moss et al. 2005)</t>
  </si>
  <si>
    <t>radiometric dating</t>
  </si>
  <si>
    <t>middle to late Rhaetian</t>
  </si>
  <si>
    <t>Late Miocene</t>
  </si>
  <si>
    <t>NP23 zone</t>
  </si>
  <si>
    <t>Santonian</t>
  </si>
  <si>
    <t>radiometric dating (Mertz &amp; Renne 2005)</t>
  </si>
  <si>
    <t>Ypresian</t>
  </si>
  <si>
    <t>Selandian-Thanetian</t>
  </si>
  <si>
    <t>middle Maastrichtian</t>
  </si>
  <si>
    <t>late Albian-Cenomanian</t>
  </si>
  <si>
    <t>early Albian</t>
  </si>
  <si>
    <t>Barremian-Aptian</t>
  </si>
  <si>
    <t>late Berriasian-early Valanginian</t>
  </si>
  <si>
    <t>Callovian-Oxfordian</t>
  </si>
  <si>
    <t>middle Bajocian</t>
  </si>
  <si>
    <t>Hettangian-Toarcian</t>
  </si>
  <si>
    <t>Carnian-Toarcian</t>
  </si>
  <si>
    <t>radiometric constraints (Helvaci 1998); 21.5 +/- 0.9 Ma</t>
  </si>
  <si>
    <t>early Eocene, with some radiometric constraints (e.g., Smith et al., 2003)</t>
  </si>
  <si>
    <t>gas exchange</t>
  </si>
  <si>
    <r>
      <t>Erdei et al., 2012</t>
    </r>
    <r>
      <rPr>
        <sz val="10"/>
        <color theme="1"/>
        <rFont val="Arial"/>
        <family val="2"/>
      </rPr>
      <t/>
    </r>
  </si>
  <si>
    <t>Grein et al., 2011</t>
  </si>
  <si>
    <t>stomatal index</t>
  </si>
  <si>
    <t>Sz not given in text; I assume that they used the same value as Mora et al. (1996)</t>
  </si>
  <si>
    <t>Kürschner et al., 1996</t>
  </si>
  <si>
    <t>stomatal index (fossil species not the same as the calibrated species)</t>
  </si>
  <si>
    <t>stomatal index (mean of two species; fossil species not the same as the calibrated species)</t>
  </si>
  <si>
    <t>stomatal ratio; Bed 8</t>
  </si>
  <si>
    <t>stomatal ratio; Bed 7</t>
  </si>
  <si>
    <t>stomatal ratio; Bed 6</t>
  </si>
  <si>
    <t>stomatal ratio; Bed 5</t>
  </si>
  <si>
    <t>stomatal ratio; Bed 4</t>
  </si>
  <si>
    <t>stomatal ratio; Bed 3</t>
  </si>
  <si>
    <t>stomatal ratio; Bed 2</t>
  </si>
  <si>
    <t>stomatal ratio; Bed 1.5</t>
  </si>
  <si>
    <t>stomatal ratio; Bed 1</t>
  </si>
  <si>
    <t>stomatal ratio; A10</t>
  </si>
  <si>
    <t>stomatal ratio; G5</t>
  </si>
  <si>
    <t>stomatal ratio; G3</t>
  </si>
  <si>
    <t>stomatal ratio; WL5</t>
  </si>
  <si>
    <t>stomatal ratio; WL2</t>
  </si>
  <si>
    <t>stomatal ratio; WC1</t>
  </si>
  <si>
    <t>stomatal ratio; WW2</t>
  </si>
  <si>
    <t>stomatal ratio; CW1</t>
  </si>
  <si>
    <t>van der Burgh et al., 1993 (updated by Kürschner et al., 1996)</t>
  </si>
  <si>
    <t>McCoy Brook Formation (Lower Jurassic: Hettangian-Sinemurian)</t>
  </si>
  <si>
    <t>Gradstein, F.M., Ogg, J.G., and Schmitz, M.D., Ogg, G.M., eds., 2012, The Geologic Time Scale 2012: Elsevier, Amsterdam.</t>
  </si>
  <si>
    <t>magnetostratigraphy (from Clyde et al 2001)</t>
  </si>
  <si>
    <t>"Miocene" age does not fit with reported age (5 Ma)</t>
  </si>
  <si>
    <t>Wing et al. (2000) places base of PETM at 55.234 Ma (Age Model 2); all ages adjusted by +0.766 Ma</t>
  </si>
  <si>
    <t>Authors place K/T boundary at 65 Ma; all ages adjusted by +1 Ma</t>
  </si>
  <si>
    <t>early to middle Jurassic</t>
  </si>
  <si>
    <t>Middle Mississippian</t>
  </si>
  <si>
    <t>Chadian-Arundian (equivalent to Radaevkian-Bobrikovian)</t>
  </si>
  <si>
    <t>lower Middle Eocene</t>
  </si>
  <si>
    <t>late Upper Albian</t>
  </si>
  <si>
    <t>early Upper Aptian</t>
  </si>
  <si>
    <t>early Lower Cretaceous</t>
  </si>
  <si>
    <t>Based on age model developed by authors (corrected to GTS 2012; p. 639); no errors or context are provided</t>
  </si>
  <si>
    <t>sandy calcisols; S(z) based on Montanez (2012)</t>
  </si>
  <si>
    <t>calcisol; S(z) based on Montanez (2012)</t>
  </si>
  <si>
    <t>silty calcisol; S(z) based on Montanez (2012)</t>
  </si>
  <si>
    <t>sandy calcisol; S(z) based on Montanez (2012)</t>
  </si>
  <si>
    <t>muddy calcisol; S(z) based on Montanez (2012)</t>
  </si>
  <si>
    <t>calcic Vertisols, Aridisols; S(z) based on Montanez (2012)</t>
  </si>
  <si>
    <t>carb-Vertisols, Aridisols, Alfisols; S(z) based on Montanez (2012)</t>
  </si>
  <si>
    <t>calcic Vertisols; S(z) based on Montanez (2012)</t>
  </si>
  <si>
    <t>Vertisols, Histosols; S(z) based on Montanez (2012)</t>
  </si>
  <si>
    <t>calcic Vertisols, Aridisols, Alfisols; S(z) based on Montanez (2012)</t>
  </si>
  <si>
    <t>Aridisols; S(z) based on Montanez (2012)</t>
  </si>
  <si>
    <t>calcic Alfisols, Aridisols; S(z) based on Montanez (2012)</t>
  </si>
  <si>
    <t>muddy calcisols; S(z) based on Montanez (2012)</t>
  </si>
  <si>
    <t>Nordt, L., Atchley, S., and Dworkin, S.I., 2003, Terrestrial evidence for two greenhouse events in the latest Cretaceous: GSA Today, v. 13(12), p. 4-9.</t>
  </si>
  <si>
    <r>
      <t>Hyland, E.G., and Sheldon, N.D., 2013, Coupled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-climate response during the Early Eocene Climatic Optimum: Palaeogeography, Palaeoclimatology, Palaeoecology, v. 369, p. 125-135.</t>
    </r>
  </si>
  <si>
    <t>Hyland &amp; Sheldon, 2013</t>
  </si>
  <si>
    <t>[multiple arguments]</t>
  </si>
  <si>
    <t>Roth-Nebelsick et al., 2012</t>
  </si>
  <si>
    <t>Grein et al., 2013 (updates Roth-Nebelsick et al., 2004, 2012)</t>
  </si>
  <si>
    <r>
      <t>Roth-Nebelsick, A., Utescher, T., Mosbrugger, V., Diester-Haass, L., and Walther, H., 2004, Changes in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concentrations and climate from the Late Eocene to Early Miocene: palaeobotanical reconstruction based on fossil floras from Saxony, Germany: Palaeogeography Palaeoclimatology Palaeoecology, v. 205, p. 43-67.</t>
    </r>
  </si>
  <si>
    <r>
      <t>Roth-Nebelsick, A., Grein, M., Utescher, T., and Konrad, W., 2012, Stomatal pore length change in leaves of Eotrigonobalanus furcinervis (Fagaceae) from the Late Eocene to the Latest Oligocene and its impact on gas exchange and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reconstruction: Review of Palaeobotany and Palynology, v. 174, p. 106-112.</t>
    </r>
  </si>
  <si>
    <r>
      <t>Roth-Nebelsick, A., and Konrad, W., 2003, Assimilation and transpiration capabilities of rhyniophytic plants from the Lower Devonian and their implications for paleoatmospheric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concentration: Palaeogeography Palaeoclimatology Palaeoecology, v. 202, p. 153-178.</t>
    </r>
  </si>
  <si>
    <t>Roth &amp; Konrad, 2003</t>
  </si>
  <si>
    <t>Grein et al., 2013 (updates Roth-Nebelsick et al., 2004)</t>
  </si>
  <si>
    <t>late Eocene</t>
  </si>
  <si>
    <t>Bartoli et al., 2011</t>
  </si>
  <si>
    <t>Huang et al., 2013</t>
  </si>
  <si>
    <t>magneto-, litho-, and chronostratigraphy</t>
  </si>
  <si>
    <t>Hyland et al., 2013</t>
  </si>
  <si>
    <t>biostratigraphy (near the Wa6-Wa7 boundary)</t>
  </si>
  <si>
    <r>
      <t>Grein, M., Oehm, C., Konrad, W., Utescher, T., Kunzmann, L., and Roth-Nebelsick, A., 2013,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from the late Oligocene to early Miocene based on photosynthesis data and fossil leaf characteristics: Palaeogeography, Palaeoclimatology, Palaeoecology, v. 374, p. 41-51.</t>
    </r>
  </si>
  <si>
    <r>
      <t>Schaller, M.F., Wright, J.D., Kent, D.V., and Olsen, P.E., 2012, Rapid emplacement of the Central Atlantic Magmatic Province as a net sink for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Earth and Planetary Science Letters, v. 323–324, p. 27-39.</t>
    </r>
  </si>
  <si>
    <t>Kenny, R., and Neet, K.E., 1993, Upper Pennsylvanian-Permian (Naco Group) paleosols (north-central Arizona): field and isotopic evidence: Geoderma, v. 58, p. 131-148.</t>
  </si>
  <si>
    <r>
      <t xml:space="preserve">Cotton, J.M., and Sheldon, N.D., 2012, New constraints on using paleosols to reconstruct atmospheric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Geological Society of America Bulletin, v. 124, p. 1411-1423.</t>
    </r>
  </si>
  <si>
    <r>
      <t>Bartoli, G., Hönisch, B., and Zeebe, R.E., 2011,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decline during the Pliocene intensification of Northern Hemisphere glaciations: Paleoceanography, v. 26, PA4213, doi:10.1029/2010PA002055.</t>
    </r>
  </si>
  <si>
    <r>
      <t>Foster, G.L., Lear, C.H., and Rae, J.W.B., 2012, The evolution of pCO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, ice volume and climate during the middle Miocene: Earth and Planetary Science Letters, v. 341–344, p. 243-254.</t>
    </r>
  </si>
  <si>
    <t>Schaller et al., 2012</t>
  </si>
  <si>
    <t>magnetostratigraphy (Hartford Basin)</t>
  </si>
  <si>
    <t>Hyland, E., Sheldon, N.D., and Fan, M., 2013, Terrestrial paleoenvironmental reconstructions indicate transient peak warming during the early Eocene climatic optimum: Geological Society of America Bulletin, v. 125, p. 1338-1348.</t>
  </si>
  <si>
    <r>
      <t>Huang, C., Retallack, G.J., Wang, C., and Huang, Q., 2013, Paleoatmospheric pCO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fluctuations across the Cretaceous-Tertiary boundary recorded from paleosol carbonates in NE China: Palaeogeography, Palaeoclimatology, Palaeoecology, v. 385, p. 95-105.</t>
    </r>
  </si>
  <si>
    <t>Mortazavi et al., 2013</t>
  </si>
  <si>
    <t>Berriasian-Barremian</t>
  </si>
  <si>
    <r>
      <t>Mortazavi, M., Moussavi-Harami, R., Brenner, R.L., Mahboubi, A., and Nadjafi, M., 2013, Stable isotope record in pedogenic carbonates in northeast Iran: Implications for Early Cretaceous (Berriasian–Barremian) paleovegetation and paleoatmospheric P(CO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 levels: Geoderma, v. 211–212, p. 85-97.</t>
    </r>
  </si>
  <si>
    <t>Badger et al., 2013a</t>
  </si>
  <si>
    <r>
      <t>Badger, M.P.S., Lear, C.H., Pancost, R.D., Foster, G.L., Bailey, T.R., Leng, M.J., and Abels, H.A., 2013a,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drawdown following the middle Miocene expansion of the Antarctic Ice Sheet: Paleoceanography, v. 28, p. 42-53.</t>
    </r>
  </si>
  <si>
    <r>
      <t xml:space="preserve">Badger, M. P. S., Schmidt, D. N., Mackensen, A., and Pancost, R. D., 2013b, High-resolution alkenone palaeobarometry indicates relatively stable </t>
    </r>
    <r>
      <rPr>
        <i/>
        <sz val="11"/>
        <rFont val="Arial"/>
        <family val="2"/>
      </rPr>
      <t>p</t>
    </r>
    <r>
      <rPr>
        <sz val="11"/>
        <rFont val="Arial"/>
        <family val="2"/>
      </rP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during the Pliocene (3.3–2.8 Ma): Philosophical Transactions of the Royal Society A, v. 371, 20130094.</t>
    </r>
  </si>
  <si>
    <t>Badger et al., 2013b</t>
  </si>
  <si>
    <t>Zhang et al., 2013</t>
  </si>
  <si>
    <r>
      <t>Zhang, Y. G., Pagani, M., Liu, Z., Bohaty, S. M., and DeConto, R., 2013, A 40-million-year history of atmospheric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: Philosophical Transactions of the Royal Society A, v. 371, 20130096.</t>
    </r>
  </si>
  <si>
    <t>6. All pre-2013 alkenone records from Pagani and colleagues have been abandoned in favor of the record of Zhang et al. (2013). See Zhang et al. (2013) for discussion.</t>
  </si>
  <si>
    <r>
      <t xml:space="preserve">7. Retallack (2009a) data: only used data associated with &gt;4 cuticle fragments (see Royer [2003] for justification); only cuticles from the genus </t>
    </r>
    <r>
      <rPr>
        <i/>
        <sz val="11"/>
        <rFont val="Arial"/>
        <family val="2"/>
      </rPr>
      <t>Ginkgo</t>
    </r>
    <r>
      <rPr>
        <sz val="11"/>
        <rFont val="Arial"/>
        <family val="2"/>
      </rPr>
      <t xml:space="preserve"> are included (see Vörding and Kerp [2008] for justification); for species other than </t>
    </r>
    <r>
      <rPr>
        <i/>
        <sz val="11"/>
        <rFont val="Arial"/>
        <family val="2"/>
      </rPr>
      <t>G. adiantoides</t>
    </r>
    <r>
      <rPr>
        <sz val="11"/>
        <rFont val="Arial"/>
        <family val="2"/>
      </rPr>
      <t>, the stomatal ratio method was used to convert stomatal index to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(see note 7).</t>
    </r>
  </si>
  <si>
    <r>
      <t>8. Stomatal ratio method calculated as follows. Lower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bound: 1 SR = 1 RCO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; upper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bound: 1 SR = 2RCO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, where SR = stomatal ratio and RCO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is the ratio of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in the past relative to today (see Beerling &amp; Royer, 2002;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baseline = 300 ppm; SI baseline = 12.1%).</t>
    </r>
  </si>
  <si>
    <t>9. The high-resolution record of Doria et al. (2011) has been combined into one estimate (mean is the mean of all estimates; lower bound is the lowest lower bound across estimates; ditto for upper bound).</t>
  </si>
  <si>
    <r>
      <t>11. Many individual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are based on multiple measurements of the same material. Consult original literature for details.</t>
    </r>
  </si>
  <si>
    <t>12. All dates are calibrated to the timescale of Gradstein et al. (2012).</t>
  </si>
  <si>
    <r>
      <t>3. Goethite-based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are excluded due to uncertainties in modeling isotopic fractionation factors (Rustad and Zarzycki, 2008).</t>
    </r>
  </si>
  <si>
    <r>
      <t>10. All liverwort-based estimates are updated using the atmospheric δ</t>
    </r>
    <r>
      <rPr>
        <vertAlign val="superscript"/>
        <sz val="11"/>
        <rFont val="Arial"/>
        <family val="2"/>
      </rPr>
      <t>13</t>
    </r>
    <r>
      <rPr>
        <sz val="11"/>
        <rFont val="Arial"/>
        <family val="2"/>
      </rPr>
      <t>C record of Tipple et al. (2010).</t>
    </r>
  </si>
  <si>
    <t>Allen, K. A., and Hönisch, B., 2012, The planktic foraminiferal B/Ca proxy for seawater carbonate chemistry: a critical evaluation: Earth and Planetary Science Letters, v. 345–348, p. 203-211.</t>
  </si>
  <si>
    <r>
      <t>5. B/Ca-based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estimates of Tripati et al. (2009) are excluded due to problems with the proxy (see Allen and Hönisch, 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</si>
</sst>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>
    <font>
      <sz val="10"/>
      <name val="Helvetica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vertAlign val="subscript"/>
      <sz val="10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charset val="128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Symbol"/>
      <family val="1"/>
      <charset val="2"/>
    </font>
    <font>
      <b/>
      <vertAlign val="superscript"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3" fillId="0" borderId="0"/>
    <xf numFmtId="0" fontId="16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104">
    <xf numFmtId="0" fontId="0" fillId="0" borderId="0" xfId="0"/>
    <xf numFmtId="0" fontId="5" fillId="24" borderId="0" xfId="37" applyFont="1" applyFill="1"/>
    <xf numFmtId="0" fontId="5" fillId="0" borderId="0" xfId="37" applyFont="1" applyFill="1"/>
    <xf numFmtId="0" fontId="6" fillId="24" borderId="0" xfId="37" applyFont="1" applyFill="1" applyAlignment="1">
      <alignment horizontal="center"/>
    </xf>
    <xf numFmtId="0" fontId="6" fillId="24" borderId="0" xfId="39" applyFont="1" applyFill="1" applyAlignment="1">
      <alignment horizontal="center"/>
    </xf>
    <xf numFmtId="0" fontId="5" fillId="0" borderId="0" xfId="37" applyFont="1" applyFill="1" applyAlignment="1">
      <alignment horizontal="center"/>
    </xf>
    <xf numFmtId="0" fontId="6" fillId="0" borderId="0" xfId="37" applyFont="1" applyFill="1" applyAlignment="1">
      <alignment horizontal="center"/>
    </xf>
    <xf numFmtId="0" fontId="10" fillId="0" borderId="0" xfId="39" applyFont="1" applyAlignment="1"/>
    <xf numFmtId="1" fontId="5" fillId="0" borderId="0" xfId="39" applyNumberFormat="1" applyFont="1" applyAlignment="1"/>
    <xf numFmtId="1" fontId="5" fillId="0" borderId="0" xfId="37" applyNumberFormat="1" applyFont="1"/>
    <xf numFmtId="1" fontId="10" fillId="0" borderId="0" xfId="39" applyNumberFormat="1" applyFont="1" applyAlignment="1"/>
    <xf numFmtId="164" fontId="5" fillId="0" borderId="0" xfId="39" quotePrefix="1" applyNumberFormat="1" applyFont="1" applyAlignment="1">
      <alignment horizontal="right"/>
    </xf>
    <xf numFmtId="1" fontId="5" fillId="0" borderId="0" xfId="39" quotePrefix="1" applyNumberFormat="1" applyFont="1" applyAlignment="1">
      <alignment horizontal="right"/>
    </xf>
    <xf numFmtId="1" fontId="10" fillId="0" borderId="0" xfId="37" applyNumberFormat="1" applyFont="1"/>
    <xf numFmtId="164" fontId="5" fillId="0" borderId="0" xfId="37" applyNumberFormat="1" applyFont="1"/>
    <xf numFmtId="0" fontId="5" fillId="0" borderId="0" xfId="37" applyFont="1"/>
    <xf numFmtId="0" fontId="10" fillId="0" borderId="0" xfId="37" applyFont="1"/>
    <xf numFmtId="1" fontId="2" fillId="0" borderId="0" xfId="39" applyNumberFormat="1" applyFont="1" applyAlignment="1"/>
    <xf numFmtId="164" fontId="5" fillId="0" borderId="0" xfId="39" applyNumberFormat="1" applyFont="1" applyAlignment="1"/>
    <xf numFmtId="1" fontId="5" fillId="0" borderId="0" xfId="37" applyNumberFormat="1" applyFont="1" applyAlignment="1"/>
    <xf numFmtId="0" fontId="10" fillId="0" borderId="0" xfId="39" applyFont="1" applyAlignment="1">
      <alignment horizontal="left"/>
    </xf>
    <xf numFmtId="1" fontId="2" fillId="0" borderId="0" xfId="37" applyNumberFormat="1" applyFont="1"/>
    <xf numFmtId="1" fontId="5" fillId="0" borderId="0" xfId="38" applyNumberFormat="1" applyFont="1" applyAlignment="1"/>
    <xf numFmtId="0" fontId="10" fillId="0" borderId="0" xfId="0" applyFont="1"/>
    <xf numFmtId="164" fontId="5" fillId="0" borderId="0" xfId="0" applyNumberFormat="1" applyFont="1" applyAlignment="1"/>
    <xf numFmtId="0" fontId="6" fillId="24" borderId="0" xfId="37" applyFont="1" applyFill="1"/>
    <xf numFmtId="0" fontId="10" fillId="0" borderId="0" xfId="39" applyFont="1" applyFill="1" applyAlignment="1"/>
    <xf numFmtId="0" fontId="10" fillId="0" borderId="0" xfId="37" applyFont="1" applyFill="1"/>
    <xf numFmtId="164" fontId="2" fillId="0" borderId="0" xfId="37" applyNumberFormat="1" applyFont="1"/>
    <xf numFmtId="2" fontId="5" fillId="0" borderId="0" xfId="37" applyNumberFormat="1" applyFont="1"/>
    <xf numFmtId="164" fontId="5" fillId="0" borderId="0" xfId="0" applyNumberFormat="1" applyFont="1"/>
    <xf numFmtId="1" fontId="5" fillId="0" borderId="0" xfId="0" applyNumberFormat="1" applyFont="1"/>
    <xf numFmtId="1" fontId="5" fillId="0" borderId="0" xfId="37" applyNumberFormat="1" applyFont="1" applyFill="1"/>
    <xf numFmtId="164" fontId="5" fillId="0" borderId="0" xfId="38" applyNumberFormat="1" applyFont="1" applyAlignment="1"/>
    <xf numFmtId="164" fontId="5" fillId="0" borderId="0" xfId="37" applyNumberFormat="1" applyFont="1" applyAlignment="1"/>
    <xf numFmtId="1" fontId="10" fillId="0" borderId="0" xfId="37" applyNumberFormat="1" applyFont="1" applyFill="1"/>
    <xf numFmtId="0" fontId="7" fillId="24" borderId="0" xfId="37" applyFont="1" applyFill="1" applyAlignment="1">
      <alignment horizontal="right"/>
    </xf>
    <xf numFmtId="0" fontId="5" fillId="24" borderId="0" xfId="37" applyFont="1" applyFill="1" applyAlignment="1">
      <alignment horizontal="left"/>
    </xf>
    <xf numFmtId="0" fontId="6" fillId="0" borderId="0" xfId="37" applyFont="1" applyFill="1" applyAlignment="1">
      <alignment horizontal="right"/>
    </xf>
    <xf numFmtId="0" fontId="6" fillId="0" borderId="0" xfId="37" applyFont="1" applyFill="1" applyAlignment="1">
      <alignment horizontal="left"/>
    </xf>
    <xf numFmtId="0" fontId="11" fillId="0" borderId="0" xfId="37" applyFont="1"/>
    <xf numFmtId="0" fontId="12" fillId="0" borderId="0" xfId="37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 indent="4"/>
    </xf>
    <xf numFmtId="0" fontId="12" fillId="0" borderId="0" xfId="0" applyFont="1" applyFill="1" applyAlignment="1">
      <alignment horizontal="left" indent="4"/>
    </xf>
    <xf numFmtId="0" fontId="12" fillId="0" borderId="0" xfId="0" applyFont="1" applyFill="1"/>
    <xf numFmtId="0" fontId="12" fillId="0" borderId="0" xfId="0" applyFont="1" applyAlignment="1">
      <alignment horizontal="left" indent="3"/>
    </xf>
    <xf numFmtId="1" fontId="5" fillId="0" borderId="0" xfId="0" applyNumberFormat="1" applyFont="1" applyFill="1"/>
    <xf numFmtId="0" fontId="1" fillId="0" borderId="0" xfId="0" applyFont="1"/>
    <xf numFmtId="1" fontId="1" fillId="0" borderId="0" xfId="0" applyNumberFormat="1" applyFont="1"/>
    <xf numFmtId="1" fontId="1" fillId="0" borderId="0" xfId="0" applyNumberFormat="1" applyFont="1" applyFill="1"/>
    <xf numFmtId="1" fontId="2" fillId="0" borderId="0" xfId="0" applyNumberFormat="1" applyFont="1"/>
    <xf numFmtId="1" fontId="0" fillId="0" borderId="0" xfId="0" applyNumberFormat="1" applyAlignment="1"/>
    <xf numFmtId="164" fontId="5" fillId="0" borderId="0" xfId="40" applyNumberFormat="1" applyFont="1" applyFill="1"/>
    <xf numFmtId="164" fontId="5" fillId="0" borderId="0" xfId="40" applyNumberFormat="1" applyFont="1" applyFill="1" applyBorder="1"/>
    <xf numFmtId="1" fontId="5" fillId="0" borderId="0" xfId="40" applyNumberFormat="1" applyFont="1" applyFill="1"/>
    <xf numFmtId="1" fontId="5" fillId="0" borderId="0" xfId="40" applyNumberFormat="1" applyFont="1"/>
    <xf numFmtId="1" fontId="5" fillId="0" borderId="0" xfId="40" applyNumberFormat="1" applyFont="1" applyFill="1" applyBorder="1"/>
    <xf numFmtId="1" fontId="5" fillId="0" borderId="0" xfId="40" applyNumberFormat="1" applyFont="1" applyBorder="1"/>
    <xf numFmtId="0" fontId="1" fillId="0" borderId="0" xfId="37" applyFont="1"/>
    <xf numFmtId="1" fontId="1" fillId="0" borderId="0" xfId="37" applyNumberFormat="1" applyFont="1"/>
    <xf numFmtId="0" fontId="35" fillId="24" borderId="0" xfId="37" applyFont="1" applyFill="1"/>
    <xf numFmtId="1" fontId="1" fillId="0" borderId="0" xfId="39" applyNumberFormat="1" applyFont="1" applyAlignment="1"/>
    <xf numFmtId="1" fontId="1" fillId="0" borderId="0" xfId="37" applyNumberFormat="1" applyFont="1" applyFill="1"/>
    <xf numFmtId="1" fontId="1" fillId="0" borderId="0" xfId="0" applyNumberFormat="1" applyFont="1" applyAlignment="1"/>
    <xf numFmtId="1" fontId="1" fillId="0" borderId="0" xfId="38" applyNumberFormat="1" applyFont="1" applyAlignment="1"/>
    <xf numFmtId="1" fontId="1" fillId="0" borderId="0" xfId="37" applyNumberFormat="1" applyFont="1" applyAlignment="1"/>
    <xf numFmtId="0" fontId="6" fillId="24" borderId="0" xfId="37" applyFont="1" applyFill="1" applyAlignment="1">
      <alignment horizontal="left"/>
    </xf>
    <xf numFmtId="1" fontId="1" fillId="0" borderId="0" xfId="39" applyNumberFormat="1" applyFont="1" applyFill="1" applyAlignment="1"/>
    <xf numFmtId="1" fontId="1" fillId="0" borderId="0" xfId="39" applyNumberFormat="1" applyFont="1" applyFill="1"/>
    <xf numFmtId="0" fontId="1" fillId="0" borderId="0" xfId="39" applyFont="1" applyFill="1" applyAlignment="1"/>
    <xf numFmtId="0" fontId="1" fillId="0" borderId="0" xfId="39" applyFont="1" applyAlignment="1"/>
    <xf numFmtId="0" fontId="1" fillId="0" borderId="0" xfId="39" applyFont="1" applyAlignment="1">
      <alignment horizontal="left"/>
    </xf>
    <xf numFmtId="0" fontId="1" fillId="0" borderId="0" xfId="37" applyFont="1" applyFill="1"/>
    <xf numFmtId="0" fontId="1" fillId="0" borderId="0" xfId="39" applyFont="1" applyFill="1" applyAlignment="1">
      <alignment horizontal="left"/>
    </xf>
    <xf numFmtId="0" fontId="38" fillId="24" borderId="0" xfId="37" applyFont="1" applyFill="1"/>
    <xf numFmtId="0" fontId="38" fillId="24" borderId="0" xfId="37" applyFont="1" applyFill="1" applyAlignment="1">
      <alignment horizontal="center"/>
    </xf>
    <xf numFmtId="1" fontId="34" fillId="0" borderId="0" xfId="39" applyNumberFormat="1" applyFont="1" applyAlignment="1"/>
    <xf numFmtId="1" fontId="34" fillId="0" borderId="0" xfId="37" applyNumberFormat="1" applyFont="1"/>
    <xf numFmtId="0" fontId="34" fillId="0" borderId="0" xfId="37" applyFont="1"/>
    <xf numFmtId="0" fontId="12" fillId="0" borderId="0" xfId="37" applyFont="1" applyFill="1"/>
    <xf numFmtId="0" fontId="10" fillId="0" borderId="0" xfId="39" applyFont="1" applyFill="1" applyAlignment="1">
      <alignment horizontal="left"/>
    </xf>
    <xf numFmtId="1" fontId="2" fillId="0" borderId="0" xfId="39" applyNumberFormat="1" applyFont="1" applyFill="1" applyBorder="1" applyAlignment="1"/>
    <xf numFmtId="1" fontId="2" fillId="0" borderId="0" xfId="39" applyNumberFormat="1" applyFont="1" applyFill="1" applyAlignment="1"/>
    <xf numFmtId="1" fontId="2" fillId="0" borderId="0" xfId="37" applyNumberFormat="1" applyFont="1" applyFill="1"/>
    <xf numFmtId="164" fontId="5" fillId="0" borderId="0" xfId="0" applyNumberFormat="1" applyFont="1" applyFill="1"/>
    <xf numFmtId="1" fontId="10" fillId="0" borderId="0" xfId="39" applyNumberFormat="1" applyFont="1" applyFill="1" applyAlignment="1"/>
    <xf numFmtId="1" fontId="34" fillId="0" borderId="0" xfId="39" applyNumberFormat="1" applyFont="1" applyFill="1" applyAlignment="1"/>
    <xf numFmtId="164" fontId="5" fillId="0" borderId="0" xfId="37" applyNumberFormat="1" applyFont="1" applyFill="1"/>
    <xf numFmtId="1" fontId="5" fillId="0" borderId="0" xfId="39" quotePrefix="1" applyNumberFormat="1" applyFont="1" applyFill="1" applyAlignment="1">
      <alignment horizontal="right"/>
    </xf>
    <xf numFmtId="0" fontId="34" fillId="0" borderId="0" xfId="37" applyFont="1" applyFill="1"/>
    <xf numFmtId="164" fontId="5" fillId="0" borderId="0" xfId="39" applyNumberFormat="1" applyFont="1" applyFill="1" applyAlignment="1"/>
    <xf numFmtId="164" fontId="2" fillId="0" borderId="0" xfId="39" applyNumberFormat="1" applyFont="1" applyAlignment="1"/>
    <xf numFmtId="164" fontId="5" fillId="0" borderId="0" xfId="39" applyNumberFormat="1" applyFont="1" applyFill="1"/>
    <xf numFmtId="164" fontId="2" fillId="0" borderId="0" xfId="39" applyNumberFormat="1" applyFont="1" applyFill="1" applyBorder="1" applyAlignment="1"/>
    <xf numFmtId="164" fontId="5" fillId="0" borderId="0" xfId="0" applyNumberFormat="1" applyFont="1" applyFill="1" applyBorder="1"/>
    <xf numFmtId="1" fontId="34" fillId="0" borderId="0" xfId="37" applyNumberFormat="1" applyFont="1" applyFill="1"/>
    <xf numFmtId="2" fontId="5" fillId="0" borderId="0" xfId="0" applyNumberFormat="1" applyFont="1"/>
    <xf numFmtId="2" fontId="5" fillId="0" borderId="0" xfId="0" applyNumberFormat="1" applyFont="1" applyAlignment="1"/>
    <xf numFmtId="2" fontId="5" fillId="0" borderId="0" xfId="0" applyNumberFormat="1" applyFont="1" applyFill="1" applyAlignment="1"/>
    <xf numFmtId="2" fontId="0" fillId="0" borderId="0" xfId="0" applyNumberFormat="1" applyAlignment="1"/>
    <xf numFmtId="0" fontId="0" fillId="0" borderId="0" xfId="0" applyFill="1" applyAlignment="1"/>
    <xf numFmtId="1" fontId="0" fillId="0" borderId="0" xfId="0" applyNumberFormat="1" applyFill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CO2 proxy data &amp; documentation" xfId="37"/>
    <cellStyle name="Normal_pCO2 by formation" xfId="38"/>
    <cellStyle name="Normal_Sheet1" xfId="39"/>
    <cellStyle name="Normal_Table1 (alkenone site 999)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2"/>
  <sheetViews>
    <sheetView workbookViewId="0">
      <selection activeCell="A6" sqref="A6"/>
    </sheetView>
  </sheetViews>
  <sheetFormatPr defaultRowHeight="15.95" customHeight="1"/>
  <cols>
    <col min="1" max="16384" width="9.140625" style="41"/>
  </cols>
  <sheetData>
    <row r="1" spans="1:1" ht="15.95" customHeight="1">
      <c r="A1" s="40" t="s">
        <v>152</v>
      </c>
    </row>
    <row r="2" spans="1:1" ht="15.95" customHeight="1">
      <c r="A2" s="41" t="s">
        <v>151</v>
      </c>
    </row>
    <row r="3" spans="1:1" ht="15.95" customHeight="1">
      <c r="A3" s="41" t="s">
        <v>164</v>
      </c>
    </row>
    <row r="4" spans="1:1" ht="15.95" customHeight="1">
      <c r="A4" s="41" t="s">
        <v>468</v>
      </c>
    </row>
    <row r="5" spans="1:1" ht="15.95" customHeight="1">
      <c r="A5" s="41" t="s">
        <v>1</v>
      </c>
    </row>
    <row r="6" spans="1:1" ht="15.95" customHeight="1">
      <c r="A6" s="41" t="s">
        <v>471</v>
      </c>
    </row>
    <row r="7" spans="1:1" ht="15.95" customHeight="1">
      <c r="A7" s="41" t="s">
        <v>462</v>
      </c>
    </row>
    <row r="8" spans="1:1" ht="15.95" customHeight="1">
      <c r="A8" s="41" t="s">
        <v>463</v>
      </c>
    </row>
    <row r="9" spans="1:1" ht="15.95" customHeight="1">
      <c r="A9" s="41" t="s">
        <v>464</v>
      </c>
    </row>
    <row r="10" spans="1:1" ht="15.95" customHeight="1">
      <c r="A10" s="41" t="s">
        <v>465</v>
      </c>
    </row>
    <row r="11" spans="1:1" ht="15.95" customHeight="1">
      <c r="A11" s="41" t="s">
        <v>469</v>
      </c>
    </row>
    <row r="12" spans="1:1" ht="15.95" customHeight="1">
      <c r="A12" s="41" t="s">
        <v>466</v>
      </c>
    </row>
    <row r="13" spans="1:1" s="81" customFormat="1" ht="15.95" customHeight="1">
      <c r="A13" s="81" t="s">
        <v>467</v>
      </c>
    </row>
    <row r="15" spans="1:1" s="43" customFormat="1" ht="15.95" customHeight="1">
      <c r="A15" s="42" t="s">
        <v>56</v>
      </c>
    </row>
    <row r="16" spans="1:1" s="43" customFormat="1" ht="15.95" customHeight="1">
      <c r="A16" s="44" t="s">
        <v>470</v>
      </c>
    </row>
    <row r="17" spans="1:1" s="43" customFormat="1" ht="15.95" customHeight="1">
      <c r="A17" s="44" t="s">
        <v>57</v>
      </c>
    </row>
    <row r="18" spans="1:1" s="43" customFormat="1" ht="15.95" customHeight="1">
      <c r="A18" s="44" t="s">
        <v>457</v>
      </c>
    </row>
    <row r="19" spans="1:1" s="43" customFormat="1" ht="15.95" customHeight="1">
      <c r="A19" s="44" t="s">
        <v>458</v>
      </c>
    </row>
    <row r="20" spans="1:1" s="46" customFormat="1" ht="15.95" customHeight="1">
      <c r="A20" s="45" t="s">
        <v>135</v>
      </c>
    </row>
    <row r="21" spans="1:1" s="43" customFormat="1" ht="15.95" customHeight="1">
      <c r="A21" s="44" t="s">
        <v>2</v>
      </c>
    </row>
    <row r="22" spans="1:1" s="43" customFormat="1" ht="15.95" customHeight="1">
      <c r="A22" s="44" t="s">
        <v>58</v>
      </c>
    </row>
    <row r="23" spans="1:1" s="43" customFormat="1" ht="15.95" customHeight="1">
      <c r="A23" s="44" t="s">
        <v>30</v>
      </c>
    </row>
    <row r="24" spans="1:1" s="43" customFormat="1" ht="15.95" customHeight="1">
      <c r="A24" s="44" t="s">
        <v>3</v>
      </c>
    </row>
    <row r="25" spans="1:1" s="46" customFormat="1" ht="15.95" customHeight="1">
      <c r="A25" s="45" t="s">
        <v>128</v>
      </c>
    </row>
    <row r="26" spans="1:1" s="46" customFormat="1" ht="15.95" customHeight="1">
      <c r="A26" s="45" t="s">
        <v>447</v>
      </c>
    </row>
    <row r="27" spans="1:1" s="46" customFormat="1" ht="15.95" customHeight="1">
      <c r="A27" s="45" t="s">
        <v>141</v>
      </c>
    </row>
    <row r="28" spans="1:1" s="46" customFormat="1" ht="15.95" customHeight="1">
      <c r="A28" s="45" t="s">
        <v>136</v>
      </c>
    </row>
    <row r="29" spans="1:1" s="43" customFormat="1" ht="15.95" customHeight="1">
      <c r="A29" s="44" t="s">
        <v>59</v>
      </c>
    </row>
    <row r="30" spans="1:1" s="43" customFormat="1" ht="15.95" customHeight="1">
      <c r="A30" s="44" t="s">
        <v>4</v>
      </c>
    </row>
    <row r="31" spans="1:1" s="43" customFormat="1" ht="15.95" customHeight="1">
      <c r="A31" s="44" t="s">
        <v>31</v>
      </c>
    </row>
    <row r="32" spans="1:1" s="43" customFormat="1" ht="15.95" customHeight="1">
      <c r="A32" s="44" t="s">
        <v>99</v>
      </c>
    </row>
    <row r="33" spans="1:1" s="43" customFormat="1" ht="15.95" customHeight="1">
      <c r="A33" s="44" t="s">
        <v>446</v>
      </c>
    </row>
    <row r="34" spans="1:1" s="43" customFormat="1" ht="15.95" customHeight="1">
      <c r="A34" s="44" t="s">
        <v>82</v>
      </c>
    </row>
    <row r="35" spans="1:1" s="43" customFormat="1" ht="15.95" customHeight="1">
      <c r="A35" s="44" t="s">
        <v>5</v>
      </c>
    </row>
    <row r="36" spans="1:1" s="46" customFormat="1" ht="15.95" customHeight="1">
      <c r="A36" s="45" t="s">
        <v>163</v>
      </c>
    </row>
    <row r="37" spans="1:1" s="43" customFormat="1" ht="15.95" customHeight="1">
      <c r="A37" s="44" t="s">
        <v>6</v>
      </c>
    </row>
    <row r="38" spans="1:1" s="43" customFormat="1" ht="15.95" customHeight="1">
      <c r="A38" s="44" t="s">
        <v>60</v>
      </c>
    </row>
    <row r="39" spans="1:1" s="43" customFormat="1" ht="15.95" customHeight="1">
      <c r="A39" s="44" t="s">
        <v>181</v>
      </c>
    </row>
    <row r="40" spans="1:1" s="43" customFormat="1" ht="15.95" customHeight="1">
      <c r="A40" s="44" t="s">
        <v>101</v>
      </c>
    </row>
    <row r="41" spans="1:1" s="43" customFormat="1" ht="15.95" customHeight="1">
      <c r="A41" s="44" t="s">
        <v>94</v>
      </c>
    </row>
    <row r="42" spans="1:1" s="43" customFormat="1" ht="15.95" customHeight="1">
      <c r="A42" s="44" t="s">
        <v>448</v>
      </c>
    </row>
    <row r="43" spans="1:1" s="43" customFormat="1" ht="15.95" customHeight="1">
      <c r="A43" s="44" t="s">
        <v>73</v>
      </c>
    </row>
    <row r="44" spans="1:1" s="43" customFormat="1" ht="15.95" customHeight="1">
      <c r="A44" s="44" t="s">
        <v>7</v>
      </c>
    </row>
    <row r="45" spans="1:1" s="43" customFormat="1" ht="15.95" customHeight="1">
      <c r="A45" s="44" t="s">
        <v>8</v>
      </c>
    </row>
    <row r="46" spans="1:1" s="43" customFormat="1" ht="15.95" customHeight="1">
      <c r="A46" s="44" t="s">
        <v>400</v>
      </c>
    </row>
    <row r="47" spans="1:1" s="43" customFormat="1" ht="15.95" customHeight="1">
      <c r="A47" s="44" t="s">
        <v>9</v>
      </c>
    </row>
    <row r="48" spans="1:1" s="43" customFormat="1" ht="15.95" customHeight="1">
      <c r="A48" s="44" t="s">
        <v>171</v>
      </c>
    </row>
    <row r="49" spans="1:1" s="43" customFormat="1" ht="15.95" customHeight="1">
      <c r="A49" s="44" t="s">
        <v>443</v>
      </c>
    </row>
    <row r="50" spans="1:1" s="43" customFormat="1" ht="15.95" customHeight="1">
      <c r="A50" s="44" t="s">
        <v>180</v>
      </c>
    </row>
    <row r="51" spans="1:1" s="43" customFormat="1" ht="15.95" customHeight="1">
      <c r="A51" s="44" t="s">
        <v>10</v>
      </c>
    </row>
    <row r="52" spans="1:1" s="43" customFormat="1" ht="15.95" customHeight="1">
      <c r="A52" s="44" t="s">
        <v>147</v>
      </c>
    </row>
    <row r="53" spans="1:1" s="43" customFormat="1" ht="15.95" customHeight="1">
      <c r="A53" s="44" t="s">
        <v>177</v>
      </c>
    </row>
    <row r="54" spans="1:1" s="43" customFormat="1" ht="15.95" customHeight="1">
      <c r="A54" s="44" t="s">
        <v>175</v>
      </c>
    </row>
    <row r="55" spans="1:1" s="46" customFormat="1" ht="15.95" customHeight="1">
      <c r="A55" s="45" t="s">
        <v>452</v>
      </c>
    </row>
    <row r="56" spans="1:1" s="46" customFormat="1" ht="15.95" customHeight="1">
      <c r="A56" s="45" t="s">
        <v>427</v>
      </c>
    </row>
    <row r="57" spans="1:1" s="46" customFormat="1" ht="15.95" customHeight="1">
      <c r="A57" s="45" t="s">
        <v>451</v>
      </c>
    </row>
    <row r="58" spans="1:1" s="43" customFormat="1" ht="15.95" customHeight="1">
      <c r="A58" s="44" t="s">
        <v>445</v>
      </c>
    </row>
    <row r="59" spans="1:1" s="43" customFormat="1" ht="15.75" customHeight="1">
      <c r="A59" s="44" t="s">
        <v>153</v>
      </c>
    </row>
    <row r="60" spans="1:1" s="43" customFormat="1" ht="15.95" customHeight="1">
      <c r="A60" s="44" t="s">
        <v>154</v>
      </c>
    </row>
    <row r="61" spans="1:1" s="43" customFormat="1" ht="15.95" customHeight="1">
      <c r="A61" s="44" t="s">
        <v>61</v>
      </c>
    </row>
    <row r="62" spans="1:1" s="43" customFormat="1" ht="15.95" customHeight="1">
      <c r="A62" s="44" t="s">
        <v>11</v>
      </c>
    </row>
    <row r="63" spans="1:1" s="43" customFormat="1" ht="15.95" customHeight="1">
      <c r="A63" s="44" t="s">
        <v>12</v>
      </c>
    </row>
    <row r="64" spans="1:1" s="46" customFormat="1" ht="15.95" customHeight="1">
      <c r="A64" s="45" t="s">
        <v>93</v>
      </c>
    </row>
    <row r="65" spans="1:1" s="43" customFormat="1" ht="15.95" customHeight="1">
      <c r="A65" s="44" t="s">
        <v>62</v>
      </c>
    </row>
    <row r="66" spans="1:1" s="43" customFormat="1" ht="15.95" customHeight="1">
      <c r="A66" s="44" t="s">
        <v>63</v>
      </c>
    </row>
    <row r="67" spans="1:1" s="43" customFormat="1" ht="15.95" customHeight="1">
      <c r="A67" s="44" t="s">
        <v>144</v>
      </c>
    </row>
    <row r="68" spans="1:1" s="43" customFormat="1" ht="15.95" customHeight="1">
      <c r="A68" s="44" t="s">
        <v>155</v>
      </c>
    </row>
    <row r="69" spans="1:1" s="43" customFormat="1" ht="15.95" customHeight="1">
      <c r="A69" s="44" t="s">
        <v>150</v>
      </c>
    </row>
    <row r="70" spans="1:1" s="43" customFormat="1" ht="15.95" customHeight="1">
      <c r="A70" s="44" t="s">
        <v>13</v>
      </c>
    </row>
    <row r="71" spans="1:1" s="43" customFormat="1" ht="15.95" customHeight="1">
      <c r="A71" s="44" t="s">
        <v>64</v>
      </c>
    </row>
    <row r="72" spans="1:1" s="43" customFormat="1" ht="15.95" customHeight="1">
      <c r="A72" s="44" t="s">
        <v>78</v>
      </c>
    </row>
    <row r="73" spans="1:1" s="43" customFormat="1" ht="15.95" customHeight="1">
      <c r="A73" s="44" t="s">
        <v>15</v>
      </c>
    </row>
    <row r="74" spans="1:1" s="43" customFormat="1" ht="15.95" customHeight="1">
      <c r="A74" s="44" t="s">
        <v>16</v>
      </c>
    </row>
    <row r="75" spans="1:1" s="43" customFormat="1" ht="15.95" customHeight="1">
      <c r="A75" s="44" t="s">
        <v>455</v>
      </c>
    </row>
    <row r="76" spans="1:1" s="43" customFormat="1" ht="15.95" customHeight="1">
      <c r="A76" s="44" t="s">
        <v>14</v>
      </c>
    </row>
    <row r="77" spans="1:1" s="43" customFormat="1" ht="15.95" customHeight="1">
      <c r="A77" s="44" t="s">
        <v>17</v>
      </c>
    </row>
    <row r="78" spans="1:1" s="43" customFormat="1" ht="15.95" customHeight="1">
      <c r="A78" s="44" t="s">
        <v>426</v>
      </c>
    </row>
    <row r="79" spans="1:1" s="43" customFormat="1" ht="15.95" customHeight="1">
      <c r="A79" s="44" t="s">
        <v>195</v>
      </c>
    </row>
    <row r="80" spans="1:1" s="43" customFormat="1" ht="15.95" customHeight="1">
      <c r="A80" s="44" t="s">
        <v>156</v>
      </c>
    </row>
    <row r="81" spans="1:1" s="43" customFormat="1" ht="15.95" customHeight="1">
      <c r="A81" s="44" t="s">
        <v>119</v>
      </c>
    </row>
    <row r="82" spans="1:1" s="43" customFormat="1" ht="15.95" customHeight="1">
      <c r="A82" s="43" t="s">
        <v>65</v>
      </c>
    </row>
    <row r="83" spans="1:1" s="43" customFormat="1" ht="15.95" customHeight="1">
      <c r="A83" s="43" t="s">
        <v>157</v>
      </c>
    </row>
    <row r="84" spans="1:1" s="46" customFormat="1" ht="15.95" customHeight="1">
      <c r="A84" s="46" t="s">
        <v>127</v>
      </c>
    </row>
    <row r="85" spans="1:1" s="43" customFormat="1" ht="15.95" customHeight="1">
      <c r="A85" s="44" t="s">
        <v>66</v>
      </c>
    </row>
    <row r="86" spans="1:1" s="43" customFormat="1" ht="15.95" customHeight="1">
      <c r="A86" s="44" t="s">
        <v>87</v>
      </c>
    </row>
    <row r="87" spans="1:1" s="43" customFormat="1" ht="15.95" customHeight="1">
      <c r="A87" s="44" t="s">
        <v>215</v>
      </c>
    </row>
    <row r="88" spans="1:1" s="43" customFormat="1" ht="15.95" customHeight="1">
      <c r="A88" s="44" t="s">
        <v>232</v>
      </c>
    </row>
    <row r="89" spans="1:1" s="43" customFormat="1" ht="15.95" customHeight="1">
      <c r="A89" s="44" t="s">
        <v>233</v>
      </c>
    </row>
    <row r="90" spans="1:1" s="46" customFormat="1" ht="15.95" customHeight="1">
      <c r="A90" s="45" t="s">
        <v>117</v>
      </c>
    </row>
    <row r="91" spans="1:1" s="43" customFormat="1" ht="15.95" customHeight="1">
      <c r="A91" s="44" t="s">
        <v>120</v>
      </c>
    </row>
    <row r="92" spans="1:1" s="43" customFormat="1" ht="15.95" customHeight="1">
      <c r="A92" s="44" t="s">
        <v>121</v>
      </c>
    </row>
    <row r="93" spans="1:1" s="43" customFormat="1" ht="15.95" customHeight="1">
      <c r="A93" s="44" t="s">
        <v>18</v>
      </c>
    </row>
    <row r="94" spans="1:1" s="43" customFormat="1" ht="15.95" customHeight="1">
      <c r="A94" s="44" t="s">
        <v>434</v>
      </c>
    </row>
    <row r="95" spans="1:1" s="43" customFormat="1" ht="15.95" customHeight="1">
      <c r="A95" s="44" t="s">
        <v>432</v>
      </c>
    </row>
    <row r="96" spans="1:1" s="43" customFormat="1" ht="15.95" customHeight="1">
      <c r="A96" s="44" t="s">
        <v>433</v>
      </c>
    </row>
    <row r="97" spans="1:1" s="43" customFormat="1" ht="15.95" customHeight="1">
      <c r="A97" s="44" t="s">
        <v>19</v>
      </c>
    </row>
    <row r="98" spans="1:1" s="43" customFormat="1" ht="15.95" customHeight="1">
      <c r="A98" s="44" t="s">
        <v>158</v>
      </c>
    </row>
    <row r="99" spans="1:1" s="43" customFormat="1" ht="15.95" customHeight="1">
      <c r="A99" s="44" t="s">
        <v>159</v>
      </c>
    </row>
    <row r="100" spans="1:1" s="43" customFormat="1" ht="15.95" customHeight="1">
      <c r="A100" s="44" t="s">
        <v>160</v>
      </c>
    </row>
    <row r="101" spans="1:1" s="43" customFormat="1" ht="15.95" customHeight="1">
      <c r="A101" s="44" t="s">
        <v>146</v>
      </c>
    </row>
    <row r="102" spans="1:1" s="43" customFormat="1" ht="15.95" customHeight="1">
      <c r="A102" s="44" t="s">
        <v>165</v>
      </c>
    </row>
    <row r="103" spans="1:1" s="43" customFormat="1" ht="15.95" customHeight="1">
      <c r="A103" s="44" t="s">
        <v>444</v>
      </c>
    </row>
    <row r="104" spans="1:1" s="43" customFormat="1" ht="15.95" customHeight="1">
      <c r="A104" s="44" t="s">
        <v>149</v>
      </c>
    </row>
    <row r="105" spans="1:1" s="43" customFormat="1" ht="15.95" customHeight="1">
      <c r="A105" s="44" t="s">
        <v>20</v>
      </c>
    </row>
    <row r="106" spans="1:1" s="43" customFormat="1" ht="15.95" customHeight="1">
      <c r="A106" s="44" t="s">
        <v>137</v>
      </c>
    </row>
    <row r="107" spans="1:1" s="43" customFormat="1" ht="15.95" customHeight="1">
      <c r="A107" s="44" t="s">
        <v>167</v>
      </c>
    </row>
    <row r="108" spans="1:1" s="43" customFormat="1" ht="15.95" customHeight="1">
      <c r="A108" s="44" t="s">
        <v>170</v>
      </c>
    </row>
    <row r="109" spans="1:1" s="43" customFormat="1" ht="15.95" customHeight="1">
      <c r="A109" s="44" t="s">
        <v>142</v>
      </c>
    </row>
    <row r="110" spans="1:1" s="43" customFormat="1" ht="15.95" customHeight="1">
      <c r="A110" s="44" t="s">
        <v>21</v>
      </c>
    </row>
    <row r="111" spans="1:1" s="43" customFormat="1" ht="15.95" customHeight="1">
      <c r="A111" s="47" t="s">
        <v>22</v>
      </c>
    </row>
    <row r="112" spans="1:1" s="43" customFormat="1" ht="15.95" customHeight="1">
      <c r="A112" s="47" t="s">
        <v>23</v>
      </c>
    </row>
    <row r="113" spans="1:1" s="43" customFormat="1" ht="15.95" customHeight="1">
      <c r="A113" s="44" t="s">
        <v>24</v>
      </c>
    </row>
    <row r="114" spans="1:1" s="43" customFormat="1" ht="15.95" customHeight="1">
      <c r="A114" s="44" t="s">
        <v>161</v>
      </c>
    </row>
    <row r="115" spans="1:1" s="43" customFormat="1" ht="15.95" customHeight="1">
      <c r="A115" s="44" t="s">
        <v>130</v>
      </c>
    </row>
    <row r="116" spans="1:1" s="43" customFormat="1" ht="15.95" customHeight="1">
      <c r="A116" s="44" t="s">
        <v>67</v>
      </c>
    </row>
    <row r="117" spans="1:1" s="43" customFormat="1" ht="15.95" customHeight="1">
      <c r="A117" s="44" t="s">
        <v>25</v>
      </c>
    </row>
    <row r="118" spans="1:1" s="43" customFormat="1" ht="15.95" customHeight="1">
      <c r="A118" s="44" t="s">
        <v>173</v>
      </c>
    </row>
    <row r="119" spans="1:1" s="43" customFormat="1" ht="15.95" customHeight="1">
      <c r="A119" s="44" t="s">
        <v>126</v>
      </c>
    </row>
    <row r="120" spans="1:1" s="43" customFormat="1" ht="15.95" customHeight="1">
      <c r="A120" s="44" t="s">
        <v>26</v>
      </c>
    </row>
    <row r="121" spans="1:1" ht="15.95" customHeight="1">
      <c r="A121" s="44" t="s">
        <v>27</v>
      </c>
    </row>
    <row r="122" spans="1:1" ht="15.95" customHeight="1">
      <c r="A122" s="44" t="s">
        <v>461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350"/>
  <sheetViews>
    <sheetView tabSelected="1" workbookViewId="0">
      <pane ySplit="3" topLeftCell="A4" activePane="bottomLeft" state="frozen"/>
      <selection pane="bottomLeft"/>
    </sheetView>
  </sheetViews>
  <sheetFormatPr defaultRowHeight="12.75"/>
  <cols>
    <col min="1" max="1" width="22.85546875" style="15" customWidth="1"/>
    <col min="2" max="2" width="11.5703125" style="60" customWidth="1"/>
    <col min="3" max="3" width="6" style="15" customWidth="1"/>
    <col min="4" max="4" width="5.42578125" style="15" customWidth="1"/>
    <col min="5" max="5" width="6" style="15" customWidth="1"/>
    <col min="6" max="6" width="6.140625" style="15" bestFit="1" customWidth="1"/>
    <col min="7" max="7" width="8.28515625" style="15" bestFit="1" customWidth="1"/>
    <col min="8" max="8" width="9" style="15" bestFit="1" customWidth="1"/>
    <col min="9" max="10" width="8.7109375" style="15" bestFit="1" customWidth="1"/>
    <col min="11" max="11" width="9" style="15" bestFit="1" customWidth="1"/>
    <col min="12" max="12" width="8.7109375" style="15" bestFit="1" customWidth="1"/>
    <col min="13" max="14" width="9" style="15" customWidth="1"/>
    <col min="15" max="15" width="3.7109375" style="15" customWidth="1"/>
    <col min="16" max="16" width="32.7109375" style="15" customWidth="1"/>
    <col min="17" max="17" width="5.5703125" style="15" customWidth="1"/>
    <col min="18" max="18" width="4.5703125" style="15" bestFit="1" customWidth="1"/>
    <col min="19" max="19" width="6.5703125" style="15" bestFit="1" customWidth="1"/>
    <col min="20" max="20" width="6.140625" style="15" bestFit="1" customWidth="1"/>
    <col min="21" max="21" width="8.28515625" style="15" bestFit="1" customWidth="1"/>
    <col min="22" max="22" width="9" style="15" bestFit="1" customWidth="1"/>
    <col min="23" max="23" width="3.7109375" style="15" customWidth="1"/>
    <col min="24" max="24" width="23.85546875" style="15" customWidth="1"/>
    <col min="25" max="25" width="11.5703125" style="80" customWidth="1"/>
    <col min="26" max="26" width="5.5703125" style="15" bestFit="1" customWidth="1"/>
    <col min="27" max="27" width="5.28515625" style="15" customWidth="1"/>
    <col min="28" max="28" width="5.85546875" style="15" customWidth="1"/>
    <col min="29" max="29" width="6.5703125" style="15" bestFit="1" customWidth="1"/>
    <col min="30" max="30" width="8.28515625" style="15" bestFit="1" customWidth="1"/>
    <col min="31" max="31" width="9" style="15" bestFit="1" customWidth="1"/>
    <col min="32" max="32" width="9" style="15" customWidth="1"/>
    <col min="33" max="33" width="3.7109375" style="15" customWidth="1"/>
    <col min="34" max="34" width="17.85546875" style="15" customWidth="1"/>
    <col min="35" max="35" width="5.5703125" style="15" bestFit="1" customWidth="1"/>
    <col min="36" max="37" width="4.85546875" style="15" customWidth="1"/>
    <col min="38" max="38" width="6.5703125" style="15" bestFit="1" customWidth="1"/>
    <col min="39" max="39" width="8.28515625" style="15" bestFit="1" customWidth="1"/>
    <col min="40" max="40" width="9" style="15" bestFit="1" customWidth="1"/>
    <col min="41" max="41" width="3.42578125" style="15" customWidth="1"/>
    <col min="42" max="42" width="19" style="15" bestFit="1" customWidth="1"/>
    <col min="43" max="43" width="11.5703125" style="80" customWidth="1"/>
    <col min="44" max="44" width="5.5703125" style="15" bestFit="1" customWidth="1"/>
    <col min="45" max="45" width="5.7109375" style="15" customWidth="1"/>
    <col min="46" max="46" width="6" style="15" customWidth="1"/>
    <col min="47" max="47" width="6.140625" style="15" bestFit="1" customWidth="1"/>
    <col min="48" max="48" width="8.28515625" style="15" bestFit="1" customWidth="1"/>
    <col min="49" max="49" width="9" style="15" bestFit="1" customWidth="1"/>
    <col min="50" max="50" width="1.5703125" style="15" customWidth="1"/>
    <col min="51" max="51" width="25.7109375" style="15" bestFit="1" customWidth="1"/>
    <col min="52" max="52" width="11.5703125" style="80" customWidth="1"/>
    <col min="53" max="53" width="4.85546875" style="15" bestFit="1" customWidth="1"/>
    <col min="54" max="54" width="5" style="15" bestFit="1" customWidth="1"/>
    <col min="55" max="55" width="6.5703125" style="15" bestFit="1" customWidth="1"/>
    <col min="56" max="16384" width="9.140625" style="15"/>
  </cols>
  <sheetData>
    <row r="1" spans="1:61" s="2" customFormat="1" ht="14.25">
      <c r="A1" s="62" t="s">
        <v>183</v>
      </c>
      <c r="B1" s="25"/>
      <c r="C1" s="36"/>
      <c r="D1" s="36" t="s">
        <v>90</v>
      </c>
      <c r="E1" s="37">
        <f>COUNT(C4:C522)</f>
        <v>323</v>
      </c>
      <c r="F1" s="1"/>
      <c r="G1" s="1"/>
      <c r="H1" s="1"/>
      <c r="I1" s="68" t="s">
        <v>188</v>
      </c>
      <c r="J1" s="68" t="s">
        <v>188</v>
      </c>
      <c r="K1" s="68" t="s">
        <v>188</v>
      </c>
      <c r="L1" s="68" t="s">
        <v>188</v>
      </c>
      <c r="M1" s="1"/>
      <c r="N1" s="1"/>
      <c r="O1" s="2" t="s">
        <v>42</v>
      </c>
      <c r="P1" s="62" t="s">
        <v>184</v>
      </c>
      <c r="Q1" s="36"/>
      <c r="R1" s="36"/>
      <c r="S1" s="36"/>
      <c r="T1" s="36" t="s">
        <v>90</v>
      </c>
      <c r="U1" s="37">
        <f>COUNT(Q4:Q358)</f>
        <v>170</v>
      </c>
      <c r="V1" s="1"/>
      <c r="X1" s="62" t="s">
        <v>91</v>
      </c>
      <c r="Y1" s="76"/>
      <c r="Z1" s="25"/>
      <c r="AA1" s="36" t="s">
        <v>90</v>
      </c>
      <c r="AB1" s="37">
        <f>COUNT(Z4:Z474)</f>
        <v>221</v>
      </c>
      <c r="AC1" s="1"/>
      <c r="AD1" s="1"/>
      <c r="AE1" s="1"/>
      <c r="AF1" s="1"/>
      <c r="AH1" s="62" t="s">
        <v>185</v>
      </c>
      <c r="AI1" s="1"/>
      <c r="AJ1" s="1"/>
      <c r="AK1" s="1"/>
      <c r="AL1" s="36" t="s">
        <v>90</v>
      </c>
      <c r="AM1" s="37">
        <f>COUNT(AI4:AI461)</f>
        <v>85</v>
      </c>
      <c r="AN1" s="1"/>
      <c r="AP1" s="62" t="s">
        <v>186</v>
      </c>
      <c r="AQ1" s="76"/>
      <c r="AR1" s="36"/>
      <c r="AS1" s="36" t="s">
        <v>90</v>
      </c>
      <c r="AT1" s="37">
        <f>COUNT(AR4:AR500)</f>
        <v>14</v>
      </c>
      <c r="AU1" s="1"/>
      <c r="AV1" s="1"/>
      <c r="AW1" s="1"/>
      <c r="AY1" s="62" t="s">
        <v>92</v>
      </c>
      <c r="AZ1" s="76"/>
      <c r="BA1" s="36"/>
      <c r="BB1" s="36" t="s">
        <v>90</v>
      </c>
      <c r="BC1" s="37">
        <f>COUNT(BA4:BA500)</f>
        <v>2</v>
      </c>
      <c r="BD1" s="1"/>
      <c r="BE1" s="1"/>
      <c r="BF1" s="1"/>
      <c r="BH1" s="38" t="s">
        <v>95</v>
      </c>
      <c r="BI1" s="39">
        <f>SUM(BC1,AT1,AM1,AB1,U1,E1)</f>
        <v>815</v>
      </c>
    </row>
    <row r="2" spans="1:61" s="5" customFormat="1" ht="14.25">
      <c r="A2" s="3" t="s">
        <v>41</v>
      </c>
      <c r="B2" s="3" t="s">
        <v>48</v>
      </c>
      <c r="C2" s="4" t="s">
        <v>48</v>
      </c>
      <c r="D2" s="3" t="s">
        <v>48</v>
      </c>
      <c r="E2" s="3" t="s">
        <v>48</v>
      </c>
      <c r="F2" s="4" t="s">
        <v>70</v>
      </c>
      <c r="G2" s="4" t="s">
        <v>71</v>
      </c>
      <c r="H2" s="4" t="s">
        <v>72</v>
      </c>
      <c r="I2" s="4" t="s">
        <v>70</v>
      </c>
      <c r="J2" s="4" t="s">
        <v>71</v>
      </c>
      <c r="K2" s="4" t="s">
        <v>72</v>
      </c>
      <c r="L2" s="4" t="s">
        <v>189</v>
      </c>
      <c r="M2" s="4" t="s">
        <v>187</v>
      </c>
      <c r="N2" s="4" t="s">
        <v>152</v>
      </c>
      <c r="P2" s="3" t="s">
        <v>41</v>
      </c>
      <c r="Q2" s="4" t="s">
        <v>48</v>
      </c>
      <c r="R2" s="3" t="s">
        <v>48</v>
      </c>
      <c r="S2" s="3" t="s">
        <v>48</v>
      </c>
      <c r="T2" s="4" t="s">
        <v>70</v>
      </c>
      <c r="U2" s="4" t="s">
        <v>71</v>
      </c>
      <c r="V2" s="4" t="s">
        <v>72</v>
      </c>
      <c r="W2" s="6"/>
      <c r="X2" s="3" t="s">
        <v>41</v>
      </c>
      <c r="Y2" s="77" t="s">
        <v>48</v>
      </c>
      <c r="Z2" s="4" t="s">
        <v>48</v>
      </c>
      <c r="AA2" s="3" t="s">
        <v>48</v>
      </c>
      <c r="AB2" s="3" t="s">
        <v>48</v>
      </c>
      <c r="AC2" s="4" t="s">
        <v>70</v>
      </c>
      <c r="AD2" s="4" t="s">
        <v>71</v>
      </c>
      <c r="AE2" s="4" t="s">
        <v>72</v>
      </c>
      <c r="AF2" s="4" t="s">
        <v>152</v>
      </c>
      <c r="AH2" s="3" t="s">
        <v>41</v>
      </c>
      <c r="AI2" s="4" t="s">
        <v>48</v>
      </c>
      <c r="AJ2" s="4"/>
      <c r="AK2" s="4"/>
      <c r="AL2" s="4" t="s">
        <v>70</v>
      </c>
      <c r="AM2" s="4" t="s">
        <v>71</v>
      </c>
      <c r="AN2" s="4" t="s">
        <v>72</v>
      </c>
      <c r="AP2" s="3" t="s">
        <v>41</v>
      </c>
      <c r="AQ2" s="77" t="s">
        <v>48</v>
      </c>
      <c r="AR2" s="4" t="s">
        <v>48</v>
      </c>
      <c r="AS2" s="3" t="s">
        <v>48</v>
      </c>
      <c r="AT2" s="3" t="s">
        <v>48</v>
      </c>
      <c r="AU2" s="4" t="s">
        <v>70</v>
      </c>
      <c r="AV2" s="4" t="s">
        <v>71</v>
      </c>
      <c r="AW2" s="4" t="s">
        <v>72</v>
      </c>
      <c r="AY2" s="3" t="s">
        <v>41</v>
      </c>
      <c r="AZ2" s="77" t="s">
        <v>48</v>
      </c>
      <c r="BA2" s="4" t="s">
        <v>48</v>
      </c>
      <c r="BB2" s="3" t="s">
        <v>48</v>
      </c>
      <c r="BC2" s="3" t="s">
        <v>48</v>
      </c>
      <c r="BD2" s="4" t="s">
        <v>70</v>
      </c>
      <c r="BE2" s="4" t="s">
        <v>71</v>
      </c>
      <c r="BF2" s="4" t="s">
        <v>72</v>
      </c>
    </row>
    <row r="3" spans="1:61" s="5" customFormat="1">
      <c r="A3" s="3"/>
      <c r="B3" s="3"/>
      <c r="C3" s="4" t="s">
        <v>49</v>
      </c>
      <c r="D3" s="4" t="s">
        <v>76</v>
      </c>
      <c r="E3" s="4" t="s">
        <v>79</v>
      </c>
      <c r="F3" s="4" t="s">
        <v>50</v>
      </c>
      <c r="G3" s="4" t="s">
        <v>50</v>
      </c>
      <c r="H3" s="4" t="s">
        <v>50</v>
      </c>
      <c r="I3" s="4" t="s">
        <v>50</v>
      </c>
      <c r="J3" s="4" t="s">
        <v>50</v>
      </c>
      <c r="K3" s="4" t="s">
        <v>50</v>
      </c>
      <c r="L3" s="4" t="s">
        <v>50</v>
      </c>
      <c r="M3" s="4" t="s">
        <v>50</v>
      </c>
      <c r="N3" s="4"/>
      <c r="P3" s="3"/>
      <c r="Q3" s="4" t="s">
        <v>49</v>
      </c>
      <c r="R3" s="4" t="s">
        <v>76</v>
      </c>
      <c r="S3" s="4" t="s">
        <v>79</v>
      </c>
      <c r="T3" s="4" t="s">
        <v>50</v>
      </c>
      <c r="U3" s="4" t="s">
        <v>50</v>
      </c>
      <c r="V3" s="4" t="s">
        <v>50</v>
      </c>
      <c r="W3" s="6"/>
      <c r="X3" s="3"/>
      <c r="Y3" s="77"/>
      <c r="Z3" s="4" t="s">
        <v>49</v>
      </c>
      <c r="AA3" s="4" t="s">
        <v>76</v>
      </c>
      <c r="AB3" s="4" t="s">
        <v>79</v>
      </c>
      <c r="AC3" s="4" t="s">
        <v>50</v>
      </c>
      <c r="AD3" s="4" t="s">
        <v>50</v>
      </c>
      <c r="AE3" s="4" t="s">
        <v>50</v>
      </c>
      <c r="AF3" s="4"/>
      <c r="AH3" s="3"/>
      <c r="AI3" s="4" t="s">
        <v>49</v>
      </c>
      <c r="AJ3" s="4"/>
      <c r="AK3" s="4"/>
      <c r="AL3" s="4" t="s">
        <v>50</v>
      </c>
      <c r="AM3" s="4" t="s">
        <v>50</v>
      </c>
      <c r="AN3" s="4" t="s">
        <v>50</v>
      </c>
      <c r="AP3" s="3"/>
      <c r="AQ3" s="77"/>
      <c r="AR3" s="4" t="s">
        <v>49</v>
      </c>
      <c r="AS3" s="4" t="s">
        <v>76</v>
      </c>
      <c r="AT3" s="4" t="s">
        <v>79</v>
      </c>
      <c r="AU3" s="4" t="s">
        <v>50</v>
      </c>
      <c r="AV3" s="4" t="s">
        <v>50</v>
      </c>
      <c r="AW3" s="4" t="s">
        <v>50</v>
      </c>
      <c r="AY3" s="3"/>
      <c r="AZ3" s="77"/>
      <c r="BA3" s="4" t="s">
        <v>49</v>
      </c>
      <c r="BB3" s="4" t="s">
        <v>76</v>
      </c>
      <c r="BC3" s="4" t="s">
        <v>79</v>
      </c>
      <c r="BD3" s="4" t="s">
        <v>50</v>
      </c>
      <c r="BE3" s="4" t="s">
        <v>50</v>
      </c>
      <c r="BF3" s="4" t="s">
        <v>50</v>
      </c>
    </row>
    <row r="4" spans="1:61">
      <c r="A4" s="26" t="s">
        <v>191</v>
      </c>
      <c r="B4" s="71" t="s">
        <v>399</v>
      </c>
      <c r="C4" s="89">
        <f>AVERAGE(D4:E4)</f>
        <v>196.05</v>
      </c>
      <c r="D4" s="92">
        <v>201.3</v>
      </c>
      <c r="E4" s="92">
        <v>190.8</v>
      </c>
      <c r="F4" s="48">
        <f t="shared" ref="F4:F67" si="0">I4*$M4/$L4</f>
        <v>1204</v>
      </c>
      <c r="G4" s="48">
        <f t="shared" ref="G4:G67" si="1">J4*$M4/$L4</f>
        <v>1040</v>
      </c>
      <c r="H4" s="48">
        <f t="shared" ref="H4:H67" si="2">K4*$M4/$L4</f>
        <v>1420</v>
      </c>
      <c r="I4" s="69">
        <v>3010</v>
      </c>
      <c r="J4" s="69">
        <v>2600</v>
      </c>
      <c r="K4" s="64">
        <v>3550</v>
      </c>
      <c r="L4" s="64">
        <v>5000</v>
      </c>
      <c r="M4" s="48">
        <v>2000</v>
      </c>
      <c r="N4" s="48"/>
      <c r="O4" s="61" t="s">
        <v>42</v>
      </c>
      <c r="P4" s="13" t="s">
        <v>148</v>
      </c>
      <c r="Q4" s="54">
        <v>0.19989999999999999</v>
      </c>
      <c r="R4" s="14"/>
      <c r="S4" s="14"/>
      <c r="T4" s="9">
        <f>AVERAGE(U4:V4)</f>
        <v>288.8761688330415</v>
      </c>
      <c r="U4" s="56">
        <v>262.90842585122499</v>
      </c>
      <c r="V4" s="57">
        <v>314.84391181485802</v>
      </c>
      <c r="X4" s="10" t="s">
        <v>398</v>
      </c>
      <c r="Y4" s="78" t="s">
        <v>281</v>
      </c>
      <c r="Z4" s="11">
        <f>AVERAGE(AA4:AB4)</f>
        <v>2.1</v>
      </c>
      <c r="AA4" s="11">
        <v>2.4</v>
      </c>
      <c r="AB4" s="11">
        <v>1.8</v>
      </c>
      <c r="AC4" s="12">
        <f t="shared" ref="AC4:AC12" si="3">AVERAGE(AD4:AE4)</f>
        <v>357.5</v>
      </c>
      <c r="AD4" s="8">
        <v>340</v>
      </c>
      <c r="AE4" s="9">
        <v>375</v>
      </c>
      <c r="AF4" s="50" t="s">
        <v>376</v>
      </c>
      <c r="AG4" s="61" t="s">
        <v>42</v>
      </c>
      <c r="AH4" s="13" t="s">
        <v>124</v>
      </c>
      <c r="AI4" s="98">
        <v>32.982999999999997</v>
      </c>
      <c r="AL4" s="31">
        <v>625.55100000000004</v>
      </c>
      <c r="AM4" s="31">
        <v>552.9</v>
      </c>
      <c r="AN4" s="31">
        <v>711.5</v>
      </c>
      <c r="AP4" s="35" t="s">
        <v>89</v>
      </c>
      <c r="AQ4" s="78" t="s">
        <v>360</v>
      </c>
      <c r="AR4" s="96">
        <f>AVERAGE(AS4:AT4)</f>
        <v>51.9</v>
      </c>
      <c r="AS4" s="96">
        <v>56</v>
      </c>
      <c r="AT4" s="96">
        <v>47.8</v>
      </c>
      <c r="AU4" s="32">
        <v>1867.6415</v>
      </c>
      <c r="AV4" s="32">
        <v>1092.347</v>
      </c>
      <c r="AW4" s="32">
        <v>3501.27</v>
      </c>
      <c r="AY4" s="16" t="s">
        <v>84</v>
      </c>
      <c r="AZ4" s="80" t="s">
        <v>372</v>
      </c>
      <c r="BA4" s="14">
        <f>AVERAGE(BB4:BC4)</f>
        <v>50.45</v>
      </c>
      <c r="BB4" s="15">
        <v>51.3</v>
      </c>
      <c r="BC4" s="15">
        <v>49.6</v>
      </c>
      <c r="BD4" s="15">
        <f>AVERAGE(BE4:BF4)</f>
        <v>2055</v>
      </c>
      <c r="BE4" s="15">
        <v>1125</v>
      </c>
      <c r="BF4" s="15">
        <v>2985</v>
      </c>
    </row>
    <row r="5" spans="1:61">
      <c r="A5" s="26" t="s">
        <v>191</v>
      </c>
      <c r="B5" s="71" t="s">
        <v>194</v>
      </c>
      <c r="C5" s="92">
        <v>211.9</v>
      </c>
      <c r="D5" s="92">
        <f>C5+2.1</f>
        <v>214</v>
      </c>
      <c r="E5" s="92">
        <f>C5-2.1</f>
        <v>209.8</v>
      </c>
      <c r="F5" s="48">
        <f t="shared" si="0"/>
        <v>1264</v>
      </c>
      <c r="G5" s="48">
        <f t="shared" si="1"/>
        <v>720</v>
      </c>
      <c r="H5" s="48">
        <f t="shared" si="2"/>
        <v>2160</v>
      </c>
      <c r="I5" s="69">
        <v>3160</v>
      </c>
      <c r="J5" s="69">
        <v>1800</v>
      </c>
      <c r="K5" s="64">
        <v>5400</v>
      </c>
      <c r="L5" s="64">
        <v>5000</v>
      </c>
      <c r="M5" s="48">
        <v>2000</v>
      </c>
      <c r="N5" s="48"/>
      <c r="O5" s="61" t="s">
        <v>42</v>
      </c>
      <c r="P5" s="13" t="s">
        <v>148</v>
      </c>
      <c r="Q5" s="54">
        <v>0.25345000000000001</v>
      </c>
      <c r="R5" s="14"/>
      <c r="S5" s="14"/>
      <c r="T5" s="9">
        <f t="shared" ref="T5:T37" si="4">AVERAGE(U5:V5)</f>
        <v>245.76859434115937</v>
      </c>
      <c r="U5" s="56">
        <v>223.67589034056712</v>
      </c>
      <c r="V5" s="57">
        <v>267.86129834175165</v>
      </c>
      <c r="X5" s="10" t="s">
        <v>398</v>
      </c>
      <c r="Y5" s="78" t="s">
        <v>285</v>
      </c>
      <c r="Z5" s="14">
        <v>5.0999999999999996</v>
      </c>
      <c r="AA5" s="14"/>
      <c r="AB5" s="14"/>
      <c r="AC5" s="12">
        <f t="shared" si="3"/>
        <v>357.5</v>
      </c>
      <c r="AD5" s="9">
        <v>340</v>
      </c>
      <c r="AE5" s="9">
        <v>375</v>
      </c>
      <c r="AF5" s="50" t="s">
        <v>376</v>
      </c>
      <c r="AG5" s="61" t="s">
        <v>42</v>
      </c>
      <c r="AH5" s="13" t="s">
        <v>124</v>
      </c>
      <c r="AI5" s="98">
        <v>33.172699999999999</v>
      </c>
      <c r="AL5" s="31">
        <v>788.54600000000005</v>
      </c>
      <c r="AM5" s="31">
        <v>685</v>
      </c>
      <c r="AN5" s="31">
        <v>909.7</v>
      </c>
      <c r="AP5" s="35" t="s">
        <v>89</v>
      </c>
      <c r="AQ5" s="78" t="s">
        <v>361</v>
      </c>
      <c r="AR5" s="96">
        <f>AVERAGE(AS5:AT5)</f>
        <v>58.8</v>
      </c>
      <c r="AS5" s="96">
        <v>61.6</v>
      </c>
      <c r="AT5" s="96">
        <v>56</v>
      </c>
      <c r="AU5" s="32">
        <v>583.04639999999995</v>
      </c>
      <c r="AV5" s="32">
        <v>283.88099999999997</v>
      </c>
      <c r="AW5" s="32">
        <v>970.16409999999996</v>
      </c>
      <c r="AY5" s="16" t="s">
        <v>84</v>
      </c>
      <c r="AZ5" s="80" t="s">
        <v>371</v>
      </c>
      <c r="BA5" s="15">
        <v>21.5</v>
      </c>
      <c r="BB5" s="15">
        <f>BA5+0.9</f>
        <v>22.4</v>
      </c>
      <c r="BC5" s="15">
        <f>BA5-0.9</f>
        <v>20.6</v>
      </c>
      <c r="BD5" s="15">
        <f>AVERAGE(BE5:BF5)</f>
        <v>562.5</v>
      </c>
      <c r="BE5" s="15">
        <v>0</v>
      </c>
      <c r="BF5" s="15">
        <v>1125</v>
      </c>
    </row>
    <row r="6" spans="1:61">
      <c r="A6" s="26" t="s">
        <v>191</v>
      </c>
      <c r="B6" s="71" t="s">
        <v>190</v>
      </c>
      <c r="C6" s="89">
        <f>AVERAGE(D6:E6)</f>
        <v>223.25</v>
      </c>
      <c r="D6" s="92">
        <v>237</v>
      </c>
      <c r="E6" s="92">
        <v>209.5</v>
      </c>
      <c r="F6" s="48">
        <f t="shared" si="0"/>
        <v>800</v>
      </c>
      <c r="G6" s="48">
        <f t="shared" si="1"/>
        <v>640</v>
      </c>
      <c r="H6" s="48">
        <f t="shared" si="2"/>
        <v>960</v>
      </c>
      <c r="I6" s="69">
        <v>2000</v>
      </c>
      <c r="J6" s="69">
        <v>1600</v>
      </c>
      <c r="K6" s="64">
        <v>2400</v>
      </c>
      <c r="L6" s="64">
        <v>5000</v>
      </c>
      <c r="M6" s="48">
        <v>2000</v>
      </c>
      <c r="N6" s="48"/>
      <c r="O6" s="61" t="s">
        <v>42</v>
      </c>
      <c r="P6" s="13" t="s">
        <v>148</v>
      </c>
      <c r="Q6" s="54">
        <v>0.45630000000000004</v>
      </c>
      <c r="R6" s="14"/>
      <c r="S6" s="14"/>
      <c r="T6" s="9">
        <f t="shared" si="4"/>
        <v>255.07990268379805</v>
      </c>
      <c r="U6" s="56">
        <v>232.15018376832774</v>
      </c>
      <c r="V6" s="57">
        <v>278.00962159926837</v>
      </c>
      <c r="X6" s="10" t="s">
        <v>398</v>
      </c>
      <c r="Y6" s="78" t="s">
        <v>286</v>
      </c>
      <c r="Z6" s="14">
        <v>7.2</v>
      </c>
      <c r="AA6" s="14"/>
      <c r="AB6" s="14"/>
      <c r="AC6" s="12">
        <f t="shared" si="3"/>
        <v>270</v>
      </c>
      <c r="AD6" s="9">
        <v>255</v>
      </c>
      <c r="AE6" s="9">
        <v>285</v>
      </c>
      <c r="AF6" s="50" t="s">
        <v>376</v>
      </c>
      <c r="AG6" s="61" t="s">
        <v>42</v>
      </c>
      <c r="AH6" s="13" t="s">
        <v>124</v>
      </c>
      <c r="AI6" s="98">
        <v>33.3324</v>
      </c>
      <c r="AL6" s="31">
        <v>1107.93</v>
      </c>
      <c r="AM6" s="31">
        <v>958.1</v>
      </c>
      <c r="AN6" s="31">
        <v>1286.3</v>
      </c>
      <c r="AP6" s="35" t="s">
        <v>89</v>
      </c>
      <c r="AQ6" s="78" t="s">
        <v>362</v>
      </c>
      <c r="AR6" s="96">
        <f>AVERAGE(AS6:AT6)</f>
        <v>70</v>
      </c>
      <c r="AS6" s="96">
        <v>71</v>
      </c>
      <c r="AT6" s="96">
        <v>69</v>
      </c>
      <c r="AU6" s="32">
        <v>670.32270000000005</v>
      </c>
      <c r="AV6" s="32">
        <v>323.54559999999998</v>
      </c>
      <c r="AW6" s="32">
        <v>1098.7329999999999</v>
      </c>
    </row>
    <row r="7" spans="1:61">
      <c r="A7" s="26" t="s">
        <v>192</v>
      </c>
      <c r="B7" s="71" t="s">
        <v>193</v>
      </c>
      <c r="C7" s="89">
        <f>AVERAGE(D7:E7)</f>
        <v>142.19999999999999</v>
      </c>
      <c r="D7" s="92">
        <v>145</v>
      </c>
      <c r="E7" s="92">
        <v>139.4</v>
      </c>
      <c r="F7" s="48">
        <f t="shared" si="0"/>
        <v>560</v>
      </c>
      <c r="G7" s="48">
        <f t="shared" si="1"/>
        <v>426.66666666666669</v>
      </c>
      <c r="H7" s="48">
        <f t="shared" si="2"/>
        <v>693.33333333333337</v>
      </c>
      <c r="I7" s="69">
        <v>2100</v>
      </c>
      <c r="J7" s="69">
        <v>1600</v>
      </c>
      <c r="K7" s="64">
        <v>2600</v>
      </c>
      <c r="L7" s="64">
        <v>7500</v>
      </c>
      <c r="M7" s="48">
        <v>2000</v>
      </c>
      <c r="N7" s="48"/>
      <c r="O7" s="61" t="s">
        <v>42</v>
      </c>
      <c r="P7" s="13" t="s">
        <v>148</v>
      </c>
      <c r="Q7" s="54">
        <v>0.9</v>
      </c>
      <c r="R7" s="14"/>
      <c r="S7" s="14"/>
      <c r="T7" s="9">
        <f t="shared" si="4"/>
        <v>242.58702586848085</v>
      </c>
      <c r="U7" s="56">
        <v>220.78032037275423</v>
      </c>
      <c r="V7" s="57">
        <v>264.3937313642075</v>
      </c>
      <c r="X7" s="10" t="s">
        <v>398</v>
      </c>
      <c r="Y7" s="78" t="s">
        <v>288</v>
      </c>
      <c r="Z7" s="14">
        <v>8.5</v>
      </c>
      <c r="AA7" s="14"/>
      <c r="AB7" s="14"/>
      <c r="AC7" s="12">
        <f t="shared" si="3"/>
        <v>350</v>
      </c>
      <c r="AD7" s="9">
        <v>340</v>
      </c>
      <c r="AE7" s="9">
        <v>360</v>
      </c>
      <c r="AF7" s="50" t="s">
        <v>376</v>
      </c>
      <c r="AG7" s="61" t="s">
        <v>42</v>
      </c>
      <c r="AH7" s="13" t="s">
        <v>124</v>
      </c>
      <c r="AI7" s="98">
        <v>33.470500000000001</v>
      </c>
      <c r="AL7" s="31">
        <v>1160.79</v>
      </c>
      <c r="AM7" s="31">
        <v>997.8</v>
      </c>
      <c r="AN7" s="31">
        <v>1359</v>
      </c>
      <c r="AP7" s="35" t="s">
        <v>89</v>
      </c>
      <c r="AQ7" s="78" t="s">
        <v>363</v>
      </c>
      <c r="AR7" s="96">
        <f>AVERAGE(AS7:AT7)</f>
        <v>100.75</v>
      </c>
      <c r="AS7" s="96">
        <v>107.6</v>
      </c>
      <c r="AT7" s="96">
        <v>93.9</v>
      </c>
      <c r="AU7" s="32">
        <v>797.16150000000005</v>
      </c>
      <c r="AV7" s="32">
        <v>379.82389999999998</v>
      </c>
      <c r="AW7" s="32">
        <v>1270.8150000000001</v>
      </c>
    </row>
    <row r="8" spans="1:61">
      <c r="A8" s="82" t="s">
        <v>216</v>
      </c>
      <c r="B8" s="75" t="s">
        <v>214</v>
      </c>
      <c r="C8" s="89">
        <f>AVERAGE(D8:E8)</f>
        <v>242.05</v>
      </c>
      <c r="D8" s="92">
        <v>247.1</v>
      </c>
      <c r="E8" s="92">
        <v>237</v>
      </c>
      <c r="F8" s="48">
        <f t="shared" si="0"/>
        <v>284</v>
      </c>
      <c r="G8" s="48">
        <f t="shared" si="1"/>
        <v>160</v>
      </c>
      <c r="H8" s="48">
        <f t="shared" si="2"/>
        <v>400</v>
      </c>
      <c r="I8" s="69">
        <v>710</v>
      </c>
      <c r="J8" s="69">
        <v>400</v>
      </c>
      <c r="K8" s="64">
        <v>1000</v>
      </c>
      <c r="L8" s="64">
        <v>5000</v>
      </c>
      <c r="M8" s="48">
        <v>2000</v>
      </c>
      <c r="N8" s="48"/>
      <c r="O8" s="61" t="s">
        <v>42</v>
      </c>
      <c r="P8" s="13" t="s">
        <v>148</v>
      </c>
      <c r="Q8" s="54">
        <v>1</v>
      </c>
      <c r="R8" s="14"/>
      <c r="S8" s="14"/>
      <c r="T8" s="9">
        <f t="shared" si="4"/>
        <v>252.31987422726274</v>
      </c>
      <c r="U8" s="56">
        <v>229.6382606154294</v>
      </c>
      <c r="V8" s="57">
        <v>275.00148783909606</v>
      </c>
      <c r="X8" s="10" t="s">
        <v>398</v>
      </c>
      <c r="Y8" s="78" t="s">
        <v>289</v>
      </c>
      <c r="Z8" s="14">
        <v>10.5</v>
      </c>
      <c r="AA8" s="14"/>
      <c r="AB8" s="14"/>
      <c r="AC8" s="12">
        <f t="shared" si="3"/>
        <v>370</v>
      </c>
      <c r="AD8" s="9">
        <v>350</v>
      </c>
      <c r="AE8" s="9">
        <v>390</v>
      </c>
      <c r="AF8" s="50" t="s">
        <v>376</v>
      </c>
      <c r="AG8" s="61" t="s">
        <v>42</v>
      </c>
      <c r="AH8" s="13" t="s">
        <v>124</v>
      </c>
      <c r="AI8" s="98">
        <v>33.590299999999999</v>
      </c>
      <c r="AL8" s="31">
        <v>764.31700000000001</v>
      </c>
      <c r="AM8" s="31">
        <v>671.8</v>
      </c>
      <c r="AN8" s="31">
        <v>878.9</v>
      </c>
      <c r="AP8" s="35" t="s">
        <v>89</v>
      </c>
      <c r="AQ8" s="78" t="s">
        <v>341</v>
      </c>
      <c r="AR8" s="96">
        <f>AVERAGE(AS8:AT8)</f>
        <v>104.05</v>
      </c>
      <c r="AS8" s="96">
        <v>107.6</v>
      </c>
      <c r="AT8" s="96">
        <v>100.5</v>
      </c>
      <c r="AU8" s="32">
        <v>829.80754999999999</v>
      </c>
      <c r="AV8" s="32">
        <v>424.84980000000002</v>
      </c>
      <c r="AW8" s="32">
        <v>1283.4469999999999</v>
      </c>
    </row>
    <row r="9" spans="1:61">
      <c r="A9" s="26" t="s">
        <v>33</v>
      </c>
      <c r="B9" s="71" t="s">
        <v>194</v>
      </c>
      <c r="C9" s="92">
        <v>211.9</v>
      </c>
      <c r="D9" s="92">
        <f>C9+2.1</f>
        <v>214</v>
      </c>
      <c r="E9" s="92">
        <f>C9-2.1</f>
        <v>209.8</v>
      </c>
      <c r="F9" s="48">
        <f t="shared" si="0"/>
        <v>666.66666666666663</v>
      </c>
      <c r="G9" s="48">
        <f t="shared" si="1"/>
        <v>533.33333333333337</v>
      </c>
      <c r="H9" s="48">
        <f t="shared" si="2"/>
        <v>800</v>
      </c>
      <c r="I9" s="69">
        <v>2500</v>
      </c>
      <c r="J9" s="69">
        <v>2000</v>
      </c>
      <c r="K9" s="64">
        <v>3000</v>
      </c>
      <c r="L9" s="64">
        <v>7500</v>
      </c>
      <c r="M9" s="48">
        <v>2000</v>
      </c>
      <c r="N9" s="48"/>
      <c r="O9" s="61" t="s">
        <v>42</v>
      </c>
      <c r="P9" s="13" t="s">
        <v>148</v>
      </c>
      <c r="Q9" s="54">
        <v>1.2</v>
      </c>
      <c r="R9" s="14"/>
      <c r="S9" s="14"/>
      <c r="T9" s="9">
        <f t="shared" si="4"/>
        <v>266.49840141928865</v>
      </c>
      <c r="U9" s="56">
        <v>242.54224739981089</v>
      </c>
      <c r="V9" s="57">
        <v>290.45455543876642</v>
      </c>
      <c r="X9" s="10" t="s">
        <v>378</v>
      </c>
      <c r="Y9" s="78" t="s">
        <v>282</v>
      </c>
      <c r="Z9" s="11">
        <f>AVERAGE(AA9:AB9)</f>
        <v>2.7749999999999999</v>
      </c>
      <c r="AA9" s="18">
        <v>3</v>
      </c>
      <c r="AB9" s="18">
        <v>2.5499999999999998</v>
      </c>
      <c r="AC9" s="12">
        <f t="shared" si="3"/>
        <v>276</v>
      </c>
      <c r="AD9" s="8">
        <v>260</v>
      </c>
      <c r="AE9" s="9">
        <v>292</v>
      </c>
      <c r="AF9" s="50" t="s">
        <v>376</v>
      </c>
      <c r="AG9" s="61" t="s">
        <v>42</v>
      </c>
      <c r="AH9" s="13" t="s">
        <v>124</v>
      </c>
      <c r="AI9" s="98">
        <v>33.958100000000002</v>
      </c>
      <c r="AL9" s="31">
        <v>960.35199999999998</v>
      </c>
      <c r="AM9" s="31">
        <v>828.2</v>
      </c>
      <c r="AN9" s="31">
        <v>1127.8</v>
      </c>
      <c r="AP9" s="35" t="s">
        <v>89</v>
      </c>
      <c r="AQ9" s="78" t="s">
        <v>341</v>
      </c>
      <c r="AR9" s="96">
        <f t="shared" ref="AR9:AR17" si="5">AVERAGE(AS9:AT9)</f>
        <v>104.05</v>
      </c>
      <c r="AS9" s="96">
        <v>107.6</v>
      </c>
      <c r="AT9" s="96">
        <v>100.5</v>
      </c>
      <c r="AU9" s="32">
        <v>977.19449999999995</v>
      </c>
      <c r="AV9" s="32">
        <v>443.87169999999998</v>
      </c>
      <c r="AW9" s="32">
        <v>1574.2449999999999</v>
      </c>
    </row>
    <row r="10" spans="1:61">
      <c r="A10" s="26" t="s">
        <v>32</v>
      </c>
      <c r="B10" s="71" t="s">
        <v>198</v>
      </c>
      <c r="C10" s="89">
        <f>AVERAGE(D10:E10)</f>
        <v>3.96</v>
      </c>
      <c r="D10" s="94">
        <v>5.33</v>
      </c>
      <c r="E10" s="94">
        <v>2.59</v>
      </c>
      <c r="F10" s="48">
        <f t="shared" si="0"/>
        <v>80</v>
      </c>
      <c r="G10" s="48">
        <f t="shared" si="1"/>
        <v>0</v>
      </c>
      <c r="H10" s="48">
        <f t="shared" si="2"/>
        <v>266.66666666666669</v>
      </c>
      <c r="I10" s="70">
        <v>300</v>
      </c>
      <c r="J10" s="70">
        <v>0</v>
      </c>
      <c r="K10" s="64">
        <v>1000</v>
      </c>
      <c r="L10" s="64">
        <v>7500</v>
      </c>
      <c r="M10" s="48">
        <v>2000</v>
      </c>
      <c r="N10" s="48"/>
      <c r="O10" s="61" t="s">
        <v>42</v>
      </c>
      <c r="P10" s="13" t="s">
        <v>148</v>
      </c>
      <c r="Q10" s="54">
        <v>1.3</v>
      </c>
      <c r="R10" s="14"/>
      <c r="S10" s="14"/>
      <c r="T10" s="9">
        <f t="shared" si="4"/>
        <v>270.64050477245382</v>
      </c>
      <c r="U10" s="56">
        <v>246.31200755930374</v>
      </c>
      <c r="V10" s="57">
        <v>294.96900198560388</v>
      </c>
      <c r="X10" s="10" t="s">
        <v>378</v>
      </c>
      <c r="Y10" s="78" t="s">
        <v>283</v>
      </c>
      <c r="Z10" s="14">
        <v>3.4</v>
      </c>
      <c r="AA10" s="14"/>
      <c r="AB10" s="14"/>
      <c r="AC10" s="12">
        <f t="shared" si="3"/>
        <v>357.5</v>
      </c>
      <c r="AD10" s="9">
        <v>340</v>
      </c>
      <c r="AE10" s="9">
        <v>375</v>
      </c>
      <c r="AF10" s="50" t="s">
        <v>376</v>
      </c>
      <c r="AG10" s="61" t="s">
        <v>42</v>
      </c>
      <c r="AH10" s="13" t="s">
        <v>124</v>
      </c>
      <c r="AI10" s="98">
        <v>34.207700000000003</v>
      </c>
      <c r="AL10" s="31">
        <v>1074.8900000000001</v>
      </c>
      <c r="AM10" s="31">
        <v>920.7</v>
      </c>
      <c r="AN10" s="31">
        <v>1268.7</v>
      </c>
      <c r="AP10" s="35" t="s">
        <v>89</v>
      </c>
      <c r="AQ10" s="78" t="s">
        <v>341</v>
      </c>
      <c r="AR10" s="96">
        <f t="shared" si="5"/>
        <v>104.05</v>
      </c>
      <c r="AS10" s="96">
        <v>107.6</v>
      </c>
      <c r="AT10" s="96">
        <v>100.5</v>
      </c>
      <c r="AU10" s="32">
        <v>1000.8842</v>
      </c>
      <c r="AV10" s="32">
        <v>421.79840000000002</v>
      </c>
      <c r="AW10" s="32">
        <v>1681.3140000000001</v>
      </c>
    </row>
    <row r="11" spans="1:61">
      <c r="A11" s="26" t="s">
        <v>32</v>
      </c>
      <c r="B11" s="71" t="s">
        <v>196</v>
      </c>
      <c r="C11" s="89">
        <f>AVERAGE(D11:E11)</f>
        <v>8.3650000000000002</v>
      </c>
      <c r="D11" s="94">
        <v>11.4</v>
      </c>
      <c r="E11" s="94">
        <v>5.33</v>
      </c>
      <c r="F11" s="48">
        <f t="shared" si="0"/>
        <v>133.33333333333334</v>
      </c>
      <c r="G11" s="48">
        <f t="shared" si="1"/>
        <v>0</v>
      </c>
      <c r="H11" s="48">
        <f t="shared" si="2"/>
        <v>266.66666666666669</v>
      </c>
      <c r="I11" s="70">
        <v>500</v>
      </c>
      <c r="J11" s="70">
        <v>0</v>
      </c>
      <c r="K11" s="64">
        <v>1000</v>
      </c>
      <c r="L11" s="64">
        <v>7500</v>
      </c>
      <c r="M11" s="48">
        <v>2000</v>
      </c>
      <c r="N11" s="48"/>
      <c r="O11" s="61" t="s">
        <v>42</v>
      </c>
      <c r="P11" s="13" t="s">
        <v>148</v>
      </c>
      <c r="Q11" s="54">
        <v>1.5</v>
      </c>
      <c r="R11" s="14"/>
      <c r="S11" s="14"/>
      <c r="T11" s="9">
        <f t="shared" si="4"/>
        <v>276.66210544309149</v>
      </c>
      <c r="U11" s="56">
        <v>251.79231270118282</v>
      </c>
      <c r="V11" s="57">
        <v>301.53189818500016</v>
      </c>
      <c r="X11" s="10" t="s">
        <v>378</v>
      </c>
      <c r="Y11" s="78" t="s">
        <v>284</v>
      </c>
      <c r="Z11" s="14">
        <v>4</v>
      </c>
      <c r="AA11" s="14"/>
      <c r="AB11" s="14"/>
      <c r="AC11" s="12">
        <f t="shared" si="3"/>
        <v>362.5</v>
      </c>
      <c r="AD11" s="9">
        <v>345</v>
      </c>
      <c r="AE11" s="9">
        <v>380</v>
      </c>
      <c r="AF11" s="50" t="s">
        <v>376</v>
      </c>
      <c r="AG11" s="61" t="s">
        <v>42</v>
      </c>
      <c r="AH11" s="13" t="s">
        <v>124</v>
      </c>
      <c r="AI11" s="98">
        <v>34.417299999999997</v>
      </c>
      <c r="AL11" s="31">
        <v>1048.46</v>
      </c>
      <c r="AM11" s="31">
        <v>830.4</v>
      </c>
      <c r="AN11" s="31">
        <v>1350.2</v>
      </c>
      <c r="AP11" s="35" t="s">
        <v>89</v>
      </c>
      <c r="AQ11" s="78" t="s">
        <v>364</v>
      </c>
      <c r="AR11" s="96">
        <f t="shared" si="5"/>
        <v>111.875</v>
      </c>
      <c r="AS11" s="96">
        <v>113</v>
      </c>
      <c r="AT11" s="96">
        <v>110.75</v>
      </c>
      <c r="AU11" s="32">
        <v>653.50930000000005</v>
      </c>
      <c r="AV11" s="32">
        <v>315.30329999999998</v>
      </c>
      <c r="AW11" s="32">
        <v>1037.9849999999999</v>
      </c>
    </row>
    <row r="12" spans="1:61">
      <c r="A12" s="26" t="s">
        <v>32</v>
      </c>
      <c r="B12" s="71" t="s">
        <v>197</v>
      </c>
      <c r="C12" s="89">
        <f>AVERAGE(D12:E12)</f>
        <v>13.7</v>
      </c>
      <c r="D12" s="94">
        <v>16</v>
      </c>
      <c r="E12" s="94">
        <v>11.4</v>
      </c>
      <c r="F12" s="48">
        <f t="shared" si="0"/>
        <v>133.33333333333334</v>
      </c>
      <c r="G12" s="48">
        <f t="shared" si="1"/>
        <v>0</v>
      </c>
      <c r="H12" s="48">
        <f t="shared" si="2"/>
        <v>266.66666666666669</v>
      </c>
      <c r="I12" s="70">
        <v>500</v>
      </c>
      <c r="J12" s="70">
        <v>0</v>
      </c>
      <c r="K12" s="64">
        <v>1000</v>
      </c>
      <c r="L12" s="64">
        <v>7500</v>
      </c>
      <c r="M12" s="48">
        <v>2000</v>
      </c>
      <c r="N12" s="48"/>
      <c r="O12" s="61" t="s">
        <v>42</v>
      </c>
      <c r="P12" s="13" t="s">
        <v>148</v>
      </c>
      <c r="Q12" s="54">
        <v>1.7519</v>
      </c>
      <c r="R12" s="14"/>
      <c r="S12" s="14"/>
      <c r="T12" s="9">
        <f t="shared" si="4"/>
        <v>270.33281752090164</v>
      </c>
      <c r="U12" s="56">
        <v>246.03197902220799</v>
      </c>
      <c r="V12" s="57">
        <v>294.63365601959526</v>
      </c>
      <c r="X12" s="10" t="s">
        <v>378</v>
      </c>
      <c r="Y12" s="78" t="s">
        <v>287</v>
      </c>
      <c r="Z12" s="18">
        <v>4.5999999999999996</v>
      </c>
      <c r="AA12" s="18"/>
      <c r="AB12" s="18"/>
      <c r="AC12" s="12">
        <f t="shared" si="3"/>
        <v>270</v>
      </c>
      <c r="AD12" s="8">
        <v>255</v>
      </c>
      <c r="AE12" s="9">
        <v>285</v>
      </c>
      <c r="AF12" s="50" t="s">
        <v>376</v>
      </c>
      <c r="AG12" s="61" t="s">
        <v>42</v>
      </c>
      <c r="AH12" s="13" t="s">
        <v>124</v>
      </c>
      <c r="AI12" s="98">
        <v>34.625300000000003</v>
      </c>
      <c r="AL12" s="31">
        <v>876.65200000000004</v>
      </c>
      <c r="AM12" s="31">
        <v>689.4</v>
      </c>
      <c r="AN12" s="31">
        <v>1141</v>
      </c>
      <c r="AP12" s="35" t="s">
        <v>89</v>
      </c>
      <c r="AQ12" s="78" t="s">
        <v>365</v>
      </c>
      <c r="AR12" s="96">
        <f t="shared" si="5"/>
        <v>121.9</v>
      </c>
      <c r="AS12" s="96">
        <v>130.80000000000001</v>
      </c>
      <c r="AT12" s="96">
        <v>113</v>
      </c>
      <c r="AU12" s="9">
        <v>1050.5419999999999</v>
      </c>
      <c r="AV12" s="9">
        <v>669.26769999999999</v>
      </c>
      <c r="AW12" s="9">
        <v>1448.1969999999999</v>
      </c>
    </row>
    <row r="13" spans="1:61">
      <c r="A13" s="26" t="s">
        <v>32</v>
      </c>
      <c r="B13" s="71" t="s">
        <v>199</v>
      </c>
      <c r="C13" s="89">
        <f>AVERAGE(D13:E13)</f>
        <v>53.5</v>
      </c>
      <c r="D13" s="94">
        <v>55</v>
      </c>
      <c r="E13" s="94">
        <v>52</v>
      </c>
      <c r="F13" s="48">
        <f t="shared" si="0"/>
        <v>80</v>
      </c>
      <c r="G13" s="48">
        <f t="shared" si="1"/>
        <v>0</v>
      </c>
      <c r="H13" s="48">
        <f t="shared" si="2"/>
        <v>266.66666666666669</v>
      </c>
      <c r="I13" s="70">
        <v>300</v>
      </c>
      <c r="J13" s="70">
        <v>0</v>
      </c>
      <c r="K13" s="64">
        <v>1000</v>
      </c>
      <c r="L13" s="64">
        <v>7500</v>
      </c>
      <c r="M13" s="48">
        <v>2000</v>
      </c>
      <c r="N13" s="48"/>
      <c r="O13" s="61" t="s">
        <v>42</v>
      </c>
      <c r="P13" s="13" t="s">
        <v>148</v>
      </c>
      <c r="Q13" s="54">
        <v>2.109</v>
      </c>
      <c r="R13" s="14"/>
      <c r="S13" s="14"/>
      <c r="T13" s="9">
        <f t="shared" si="4"/>
        <v>254.29580744676804</v>
      </c>
      <c r="U13" s="56">
        <v>231.43657265489543</v>
      </c>
      <c r="V13" s="57">
        <v>277.15504223864065</v>
      </c>
      <c r="X13" s="10" t="s">
        <v>28</v>
      </c>
      <c r="Y13" s="78" t="s">
        <v>290</v>
      </c>
      <c r="Z13" s="14">
        <f t="shared" ref="Z13:Z22" si="6">AVERAGE(AA13:AB13)</f>
        <v>168.8</v>
      </c>
      <c r="AA13" s="14">
        <v>174.1</v>
      </c>
      <c r="AB13" s="14">
        <v>163.5</v>
      </c>
      <c r="AC13" s="12">
        <v>879.24107142857156</v>
      </c>
      <c r="AD13" s="9">
        <v>586.16071428571433</v>
      </c>
      <c r="AE13" s="9">
        <v>1172.3214285714287</v>
      </c>
      <c r="AF13" s="61" t="s">
        <v>118</v>
      </c>
      <c r="AG13" s="61" t="s">
        <v>42</v>
      </c>
      <c r="AH13" s="13" t="s">
        <v>148</v>
      </c>
      <c r="AI13" s="99">
        <v>3.8999999999999998E-3</v>
      </c>
      <c r="AJ13" s="9"/>
      <c r="AK13" s="9"/>
      <c r="AL13" s="9">
        <v>266.12144413297449</v>
      </c>
      <c r="AM13" s="9">
        <v>249.17435481447143</v>
      </c>
      <c r="AN13" s="9">
        <v>283.06853345147749</v>
      </c>
      <c r="AP13" s="35" t="s">
        <v>89</v>
      </c>
      <c r="AQ13" s="78" t="s">
        <v>366</v>
      </c>
      <c r="AR13" s="96">
        <f t="shared" si="5"/>
        <v>139.25</v>
      </c>
      <c r="AS13" s="96">
        <v>142</v>
      </c>
      <c r="AT13" s="96">
        <v>136.5</v>
      </c>
      <c r="AU13" s="9">
        <v>982.02599999999995</v>
      </c>
      <c r="AV13" s="9">
        <v>608.24630000000002</v>
      </c>
      <c r="AW13" s="9">
        <v>1404.903</v>
      </c>
    </row>
    <row r="14" spans="1:61">
      <c r="A14" s="26" t="s">
        <v>32</v>
      </c>
      <c r="B14" s="71" t="s">
        <v>209</v>
      </c>
      <c r="C14" s="89">
        <f>AVERAGE(D14:E14)</f>
        <v>106.75</v>
      </c>
      <c r="D14" s="92">
        <v>113</v>
      </c>
      <c r="E14" s="92">
        <v>100.5</v>
      </c>
      <c r="F14" s="48">
        <f t="shared" si="0"/>
        <v>600</v>
      </c>
      <c r="G14" s="48">
        <f t="shared" si="1"/>
        <v>400</v>
      </c>
      <c r="H14" s="48">
        <f t="shared" si="2"/>
        <v>800</v>
      </c>
      <c r="I14" s="69">
        <v>2250</v>
      </c>
      <c r="J14" s="69">
        <v>1500</v>
      </c>
      <c r="K14" s="64">
        <v>3000</v>
      </c>
      <c r="L14" s="64">
        <v>7500</v>
      </c>
      <c r="M14" s="48">
        <v>2000</v>
      </c>
      <c r="N14" s="48"/>
      <c r="O14" s="61" t="s">
        <v>42</v>
      </c>
      <c r="P14" s="13" t="s">
        <v>148</v>
      </c>
      <c r="Q14" s="54">
        <v>2.3091999999999997</v>
      </c>
      <c r="R14" s="14"/>
      <c r="S14" s="14"/>
      <c r="T14" s="9">
        <f t="shared" si="4"/>
        <v>273.42672697080525</v>
      </c>
      <c r="U14" s="56">
        <v>248.84776983834337</v>
      </c>
      <c r="V14" s="57">
        <v>298.00568410326707</v>
      </c>
      <c r="X14" s="10" t="s">
        <v>28</v>
      </c>
      <c r="Y14" s="78" t="s">
        <v>329</v>
      </c>
      <c r="Z14" s="14">
        <f t="shared" si="6"/>
        <v>200.3</v>
      </c>
      <c r="AA14" s="14">
        <v>201.3</v>
      </c>
      <c r="AB14" s="14">
        <v>199.3</v>
      </c>
      <c r="AC14" s="12">
        <v>863.81578947368416</v>
      </c>
      <c r="AD14" s="9">
        <v>575.87719298245611</v>
      </c>
      <c r="AE14" s="9">
        <v>1151.7543859649122</v>
      </c>
      <c r="AF14" s="61" t="s">
        <v>118</v>
      </c>
      <c r="AG14" s="61" t="s">
        <v>42</v>
      </c>
      <c r="AH14" s="13" t="s">
        <v>148</v>
      </c>
      <c r="AI14" s="99">
        <v>0.45630000000000004</v>
      </c>
      <c r="AJ14" s="9"/>
      <c r="AK14" s="9"/>
      <c r="AL14" s="9">
        <v>293.38250975643757</v>
      </c>
      <c r="AM14" s="9">
        <v>265.37128945641012</v>
      </c>
      <c r="AN14" s="9">
        <v>321.39373005646502</v>
      </c>
      <c r="AP14" s="35" t="s">
        <v>89</v>
      </c>
      <c r="AQ14" s="78" t="s">
        <v>367</v>
      </c>
      <c r="AR14" s="96">
        <f t="shared" si="5"/>
        <v>161.69999999999999</v>
      </c>
      <c r="AS14" s="96">
        <v>166.1</v>
      </c>
      <c r="AT14" s="96">
        <v>157.30000000000001</v>
      </c>
      <c r="AU14" s="9">
        <v>697.91020000000003</v>
      </c>
      <c r="AV14" s="9">
        <v>394.81240000000003</v>
      </c>
      <c r="AW14" s="9">
        <v>1084.8900000000001</v>
      </c>
    </row>
    <row r="15" spans="1:61">
      <c r="A15" s="26" t="s">
        <v>35</v>
      </c>
      <c r="B15" s="71" t="s">
        <v>200</v>
      </c>
      <c r="C15" s="92">
        <v>55.5</v>
      </c>
      <c r="D15" s="92">
        <v>56</v>
      </c>
      <c r="E15" s="92">
        <v>55</v>
      </c>
      <c r="F15" s="48">
        <f t="shared" si="0"/>
        <v>328</v>
      </c>
      <c r="G15" s="48">
        <f t="shared" si="1"/>
        <v>200</v>
      </c>
      <c r="H15" s="48">
        <f t="shared" si="2"/>
        <v>460</v>
      </c>
      <c r="I15" s="69">
        <v>820</v>
      </c>
      <c r="J15" s="69">
        <v>500</v>
      </c>
      <c r="K15" s="64">
        <v>1150</v>
      </c>
      <c r="L15" s="64">
        <v>5000</v>
      </c>
      <c r="M15" s="48">
        <v>2000</v>
      </c>
      <c r="N15" s="48"/>
      <c r="O15" s="61" t="s">
        <v>42</v>
      </c>
      <c r="P15" s="13" t="s">
        <v>148</v>
      </c>
      <c r="Q15" s="54">
        <v>2.5920000000000001</v>
      </c>
      <c r="R15" s="14"/>
      <c r="S15" s="14"/>
      <c r="T15" s="9">
        <f t="shared" si="4"/>
        <v>267.39782951168388</v>
      </c>
      <c r="U15" s="56">
        <v>243.36082383307382</v>
      </c>
      <c r="V15" s="57">
        <v>291.434835190294</v>
      </c>
      <c r="X15" s="10" t="s">
        <v>28</v>
      </c>
      <c r="Y15" s="78" t="s">
        <v>330</v>
      </c>
      <c r="Z15" s="14">
        <f t="shared" si="6"/>
        <v>205.4</v>
      </c>
      <c r="AA15" s="14">
        <v>209.5</v>
      </c>
      <c r="AB15" s="14">
        <v>201.3</v>
      </c>
      <c r="AC15" s="12">
        <v>757.5</v>
      </c>
      <c r="AD15" s="9">
        <v>505</v>
      </c>
      <c r="AE15" s="9">
        <v>1010</v>
      </c>
      <c r="AF15" s="61" t="s">
        <v>118</v>
      </c>
      <c r="AG15" s="61" t="s">
        <v>42</v>
      </c>
      <c r="AH15" s="13" t="s">
        <v>148</v>
      </c>
      <c r="AI15" s="99">
        <v>0.9</v>
      </c>
      <c r="AJ15" s="9"/>
      <c r="AK15" s="9"/>
      <c r="AL15" s="9">
        <v>277.82560780283848</v>
      </c>
      <c r="AM15" s="9">
        <v>253.6168117660302</v>
      </c>
      <c r="AN15" s="9">
        <v>302.0344038396467</v>
      </c>
      <c r="AP15" s="35" t="s">
        <v>89</v>
      </c>
      <c r="AQ15" s="78" t="s">
        <v>368</v>
      </c>
      <c r="AR15" s="96">
        <f t="shared" si="5"/>
        <v>169.5</v>
      </c>
      <c r="AS15" s="96">
        <v>170</v>
      </c>
      <c r="AT15" s="96">
        <v>169</v>
      </c>
      <c r="AU15" s="9">
        <v>636.71275000000003</v>
      </c>
      <c r="AV15" s="9">
        <v>344.89749999999998</v>
      </c>
      <c r="AW15" s="9">
        <v>1068.075</v>
      </c>
    </row>
    <row r="16" spans="1:61">
      <c r="A16" s="26" t="s">
        <v>35</v>
      </c>
      <c r="B16" s="71" t="s">
        <v>201</v>
      </c>
      <c r="C16" s="92">
        <v>56.5</v>
      </c>
      <c r="D16" s="92">
        <v>57</v>
      </c>
      <c r="E16" s="92">
        <v>56</v>
      </c>
      <c r="F16" s="48">
        <f t="shared" si="0"/>
        <v>428</v>
      </c>
      <c r="G16" s="48">
        <f t="shared" si="1"/>
        <v>200</v>
      </c>
      <c r="H16" s="48">
        <f t="shared" si="2"/>
        <v>680</v>
      </c>
      <c r="I16" s="69">
        <v>1070</v>
      </c>
      <c r="J16" s="69">
        <v>500</v>
      </c>
      <c r="K16" s="69">
        <v>1700</v>
      </c>
      <c r="L16" s="69">
        <v>5000</v>
      </c>
      <c r="M16" s="48">
        <v>2000</v>
      </c>
      <c r="N16" s="48"/>
      <c r="O16" s="61" t="s">
        <v>42</v>
      </c>
      <c r="P16" s="13" t="s">
        <v>148</v>
      </c>
      <c r="Q16" s="54">
        <v>2.7850000000000001</v>
      </c>
      <c r="R16" s="14"/>
      <c r="S16" s="14"/>
      <c r="T16" s="9">
        <f t="shared" si="4"/>
        <v>298.83555484726975</v>
      </c>
      <c r="U16" s="56">
        <v>271.97253975865789</v>
      </c>
      <c r="V16" s="57">
        <v>325.69856993588161</v>
      </c>
      <c r="X16" s="10" t="s">
        <v>28</v>
      </c>
      <c r="Y16" s="78" t="s">
        <v>330</v>
      </c>
      <c r="Z16" s="14">
        <f t="shared" si="6"/>
        <v>205.4</v>
      </c>
      <c r="AA16" s="14">
        <v>209.5</v>
      </c>
      <c r="AB16" s="14">
        <v>201.3</v>
      </c>
      <c r="AC16" s="12">
        <v>834.53389830508468</v>
      </c>
      <c r="AD16" s="9">
        <v>556.35593220338978</v>
      </c>
      <c r="AE16" s="9">
        <v>1112.7118644067796</v>
      </c>
      <c r="AF16" s="61" t="s">
        <v>118</v>
      </c>
      <c r="AG16" s="61" t="s">
        <v>42</v>
      </c>
      <c r="AH16" s="13" t="s">
        <v>148</v>
      </c>
      <c r="AI16" s="99">
        <v>1.5</v>
      </c>
      <c r="AJ16" s="9"/>
      <c r="AK16" s="9"/>
      <c r="AL16" s="9">
        <v>278.58956218993183</v>
      </c>
      <c r="AM16" s="9">
        <v>262.9587881777781</v>
      </c>
      <c r="AN16" s="9">
        <v>294.22033620208555</v>
      </c>
      <c r="AP16" s="35" t="s">
        <v>89</v>
      </c>
      <c r="AQ16" s="78" t="s">
        <v>369</v>
      </c>
      <c r="AR16" s="96">
        <f t="shared" si="5"/>
        <v>187.7</v>
      </c>
      <c r="AS16" s="96">
        <v>201.3</v>
      </c>
      <c r="AT16" s="96">
        <v>174.1</v>
      </c>
      <c r="AU16" s="9">
        <v>919.22140000000002</v>
      </c>
      <c r="AV16" s="9">
        <v>534.55939999999998</v>
      </c>
      <c r="AW16" s="9">
        <v>1394.251</v>
      </c>
    </row>
    <row r="17" spans="1:52" s="2" customFormat="1">
      <c r="A17" s="82" t="s">
        <v>220</v>
      </c>
      <c r="B17" s="75" t="s">
        <v>219</v>
      </c>
      <c r="C17" s="89">
        <f>AVERAGE(D17:E17)</f>
        <v>302.95</v>
      </c>
      <c r="D17" s="95">
        <v>307</v>
      </c>
      <c r="E17" s="95">
        <v>298.89999999999998</v>
      </c>
      <c r="F17" s="48">
        <f t="shared" si="0"/>
        <v>588</v>
      </c>
      <c r="G17" s="48">
        <f t="shared" si="1"/>
        <v>340</v>
      </c>
      <c r="H17" s="48">
        <f t="shared" si="2"/>
        <v>820</v>
      </c>
      <c r="I17" s="83">
        <v>1470</v>
      </c>
      <c r="J17" s="84">
        <v>850</v>
      </c>
      <c r="K17" s="85">
        <v>2050</v>
      </c>
      <c r="L17" s="64">
        <v>5000</v>
      </c>
      <c r="M17" s="48">
        <v>2000</v>
      </c>
      <c r="N17" s="48"/>
      <c r="O17" s="61" t="s">
        <v>42</v>
      </c>
      <c r="P17" s="13" t="s">
        <v>148</v>
      </c>
      <c r="Q17" s="54">
        <v>2.8216999999999999</v>
      </c>
      <c r="R17" s="14"/>
      <c r="S17" s="14"/>
      <c r="T17" s="9">
        <f t="shared" si="4"/>
        <v>303.36913940017894</v>
      </c>
      <c r="U17" s="56">
        <v>276.09858997278155</v>
      </c>
      <c r="V17" s="57">
        <v>330.63968882757632</v>
      </c>
      <c r="W17" s="15"/>
      <c r="X17" s="87" t="s">
        <v>38</v>
      </c>
      <c r="Y17" s="88" t="s">
        <v>291</v>
      </c>
      <c r="Z17" s="14">
        <f t="shared" si="6"/>
        <v>44.5</v>
      </c>
      <c r="AA17" s="89">
        <v>47.8</v>
      </c>
      <c r="AB17" s="89">
        <v>41.2</v>
      </c>
      <c r="AC17" s="90">
        <f t="shared" ref="AC17:AC24" si="7">AVERAGE(AD17:AE17)</f>
        <v>768</v>
      </c>
      <c r="AD17" s="32">
        <v>512</v>
      </c>
      <c r="AE17" s="32">
        <f t="shared" ref="AE17:AE24" si="8">AD17*2</f>
        <v>1024</v>
      </c>
      <c r="AF17" s="64" t="s">
        <v>118</v>
      </c>
      <c r="AG17" s="64" t="s">
        <v>42</v>
      </c>
      <c r="AH17" s="35" t="s">
        <v>148</v>
      </c>
      <c r="AI17" s="100">
        <v>2.109</v>
      </c>
      <c r="AJ17" s="32"/>
      <c r="AK17" s="32"/>
      <c r="AL17" s="32">
        <v>274.33090097443505</v>
      </c>
      <c r="AM17" s="32">
        <v>259.71877737128955</v>
      </c>
      <c r="AN17" s="32">
        <v>288.94302457758062</v>
      </c>
      <c r="AP17" s="35" t="s">
        <v>89</v>
      </c>
      <c r="AQ17" s="88" t="s">
        <v>370</v>
      </c>
      <c r="AR17" s="96">
        <f t="shared" si="5"/>
        <v>205.55</v>
      </c>
      <c r="AS17" s="96">
        <v>237</v>
      </c>
      <c r="AT17" s="96">
        <v>174.1</v>
      </c>
      <c r="AU17" s="32">
        <v>387.82780000000002</v>
      </c>
      <c r="AV17" s="32">
        <v>201.5446</v>
      </c>
      <c r="AW17" s="32">
        <v>653.03809999999999</v>
      </c>
      <c r="AZ17" s="91"/>
    </row>
    <row r="18" spans="1:52">
      <c r="A18" s="26" t="s">
        <v>36</v>
      </c>
      <c r="B18" s="71" t="s">
        <v>202</v>
      </c>
      <c r="C18" s="89">
        <f>AVERAGE(D18:E18)</f>
        <v>344.85</v>
      </c>
      <c r="D18" s="92">
        <v>346.7</v>
      </c>
      <c r="E18" s="92">
        <v>343</v>
      </c>
      <c r="F18" s="48">
        <f t="shared" si="0"/>
        <v>524</v>
      </c>
      <c r="G18" s="48">
        <f t="shared" si="1"/>
        <v>276</v>
      </c>
      <c r="H18" s="48">
        <f t="shared" si="2"/>
        <v>756</v>
      </c>
      <c r="I18" s="69">
        <v>1310</v>
      </c>
      <c r="J18" s="69">
        <v>690</v>
      </c>
      <c r="K18" s="64">
        <v>1890</v>
      </c>
      <c r="L18" s="64">
        <v>5000</v>
      </c>
      <c r="M18" s="48">
        <v>2000</v>
      </c>
      <c r="N18" s="48"/>
      <c r="O18" s="61" t="s">
        <v>42</v>
      </c>
      <c r="P18" s="13" t="s">
        <v>148</v>
      </c>
      <c r="Q18" s="54">
        <v>2.89</v>
      </c>
      <c r="R18" s="14"/>
      <c r="S18" s="14"/>
      <c r="T18" s="9">
        <f t="shared" si="4"/>
        <v>323.27906244441886</v>
      </c>
      <c r="U18" s="56">
        <v>294.21876425896664</v>
      </c>
      <c r="V18" s="57">
        <v>352.33936062987101</v>
      </c>
      <c r="X18" s="10" t="s">
        <v>38</v>
      </c>
      <c r="Y18" s="78" t="s">
        <v>290</v>
      </c>
      <c r="Z18" s="14">
        <f t="shared" si="6"/>
        <v>168.8</v>
      </c>
      <c r="AA18" s="14">
        <v>174.1</v>
      </c>
      <c r="AB18" s="14">
        <v>163.5</v>
      </c>
      <c r="AC18" s="12">
        <f t="shared" si="7"/>
        <v>639</v>
      </c>
      <c r="AD18" s="9">
        <v>426</v>
      </c>
      <c r="AE18" s="9">
        <f t="shared" si="8"/>
        <v>852</v>
      </c>
      <c r="AF18" s="61" t="s">
        <v>118</v>
      </c>
      <c r="AG18" s="61" t="s">
        <v>42</v>
      </c>
      <c r="AH18" s="13" t="s">
        <v>148</v>
      </c>
      <c r="AI18" s="99">
        <v>2.5920000000000001</v>
      </c>
      <c r="AJ18" s="9"/>
      <c r="AK18" s="9"/>
      <c r="AL18" s="9">
        <v>258.4808363041837</v>
      </c>
      <c r="AM18" s="9">
        <v>250.75138009273792</v>
      </c>
      <c r="AN18" s="9">
        <v>266.21029251562948</v>
      </c>
      <c r="AQ18" s="78"/>
    </row>
    <row r="19" spans="1:52">
      <c r="A19" s="82" t="s">
        <v>231</v>
      </c>
      <c r="B19" s="75" t="s">
        <v>227</v>
      </c>
      <c r="C19" s="92">
        <v>7.66</v>
      </c>
      <c r="D19" s="92">
        <f>C19+0.13</f>
        <v>7.79</v>
      </c>
      <c r="E19" s="92">
        <f>C19-0.13</f>
        <v>7.53</v>
      </c>
      <c r="F19" s="48">
        <f t="shared" si="0"/>
        <v>292</v>
      </c>
      <c r="G19" s="48">
        <f t="shared" si="1"/>
        <v>132</v>
      </c>
      <c r="H19" s="48">
        <f t="shared" si="2"/>
        <v>452</v>
      </c>
      <c r="I19" s="69">
        <v>730</v>
      </c>
      <c r="J19" s="69">
        <v>330</v>
      </c>
      <c r="K19" s="64">
        <v>1130</v>
      </c>
      <c r="L19" s="64">
        <v>5000</v>
      </c>
      <c r="M19" s="48">
        <v>2000</v>
      </c>
      <c r="N19" s="48"/>
      <c r="O19" s="61" t="s">
        <v>42</v>
      </c>
      <c r="P19" s="13" t="s">
        <v>148</v>
      </c>
      <c r="Q19" s="54">
        <v>2.9359999999999999</v>
      </c>
      <c r="R19" s="14"/>
      <c r="S19" s="14"/>
      <c r="T19" s="9">
        <f t="shared" si="4"/>
        <v>332.87623310279986</v>
      </c>
      <c r="U19" s="56">
        <v>302.95322318167138</v>
      </c>
      <c r="V19" s="57">
        <v>362.79924302392834</v>
      </c>
      <c r="X19" s="10" t="s">
        <v>38</v>
      </c>
      <c r="Y19" s="78" t="s">
        <v>240</v>
      </c>
      <c r="Z19" s="14">
        <f t="shared" si="6"/>
        <v>285.60000000000002</v>
      </c>
      <c r="AA19" s="18">
        <v>298.89999999999998</v>
      </c>
      <c r="AB19" s="18">
        <v>272.3</v>
      </c>
      <c r="AC19" s="12">
        <f t="shared" si="7"/>
        <v>354</v>
      </c>
      <c r="AD19" s="9">
        <v>236</v>
      </c>
      <c r="AE19" s="9">
        <f t="shared" si="8"/>
        <v>472</v>
      </c>
      <c r="AF19" s="61" t="s">
        <v>118</v>
      </c>
      <c r="AG19" s="61" t="s">
        <v>42</v>
      </c>
      <c r="AH19" s="13" t="s">
        <v>148</v>
      </c>
      <c r="AI19" s="99">
        <v>2.7850000000000001</v>
      </c>
      <c r="AJ19" s="9"/>
      <c r="AK19" s="9"/>
      <c r="AL19" s="9">
        <v>282.9269204281685</v>
      </c>
      <c r="AM19" s="9">
        <v>271.77538769557793</v>
      </c>
      <c r="AN19" s="9">
        <v>294.07845316075912</v>
      </c>
      <c r="AQ19" s="78"/>
    </row>
    <row r="20" spans="1:52">
      <c r="A20" s="82" t="s">
        <v>231</v>
      </c>
      <c r="B20" s="75" t="s">
        <v>229</v>
      </c>
      <c r="C20" s="89">
        <f>AVERAGE(D20:E20)</f>
        <v>10.55</v>
      </c>
      <c r="D20" s="92">
        <v>11.2</v>
      </c>
      <c r="E20" s="92">
        <v>9.9</v>
      </c>
      <c r="F20" s="48">
        <f t="shared" si="0"/>
        <v>448</v>
      </c>
      <c r="G20" s="48">
        <f t="shared" si="1"/>
        <v>288</v>
      </c>
      <c r="H20" s="48">
        <f t="shared" si="2"/>
        <v>608</v>
      </c>
      <c r="I20" s="69">
        <v>1120</v>
      </c>
      <c r="J20" s="69">
        <v>720</v>
      </c>
      <c r="K20" s="64">
        <v>1520</v>
      </c>
      <c r="L20" s="64">
        <v>5000</v>
      </c>
      <c r="M20" s="48">
        <v>2000</v>
      </c>
      <c r="N20" s="48"/>
      <c r="O20" s="61" t="s">
        <v>42</v>
      </c>
      <c r="P20" s="13" t="s">
        <v>148</v>
      </c>
      <c r="Q20" s="54">
        <v>2.9849999999999999</v>
      </c>
      <c r="R20" s="14"/>
      <c r="S20" s="14"/>
      <c r="T20" s="9">
        <f t="shared" si="4"/>
        <v>371.64025025062898</v>
      </c>
      <c r="U20" s="56">
        <v>338.23265370435962</v>
      </c>
      <c r="V20" s="57">
        <v>405.04784679689834</v>
      </c>
      <c r="X20" s="10" t="s">
        <v>38</v>
      </c>
      <c r="Y20" s="78" t="s">
        <v>293</v>
      </c>
      <c r="Z20" s="14">
        <f t="shared" si="6"/>
        <v>316.60000000000002</v>
      </c>
      <c r="AA20" s="18">
        <v>318</v>
      </c>
      <c r="AB20" s="18">
        <v>315.2</v>
      </c>
      <c r="AC20" s="12">
        <f t="shared" si="7"/>
        <v>261</v>
      </c>
      <c r="AD20" s="9">
        <v>174</v>
      </c>
      <c r="AE20" s="9">
        <f t="shared" si="8"/>
        <v>348</v>
      </c>
      <c r="AF20" s="61" t="s">
        <v>118</v>
      </c>
      <c r="AG20" s="61" t="s">
        <v>42</v>
      </c>
      <c r="AH20" s="13" t="s">
        <v>148</v>
      </c>
      <c r="AI20" s="99">
        <v>2.8895229999999996</v>
      </c>
      <c r="AJ20" s="9"/>
      <c r="AK20" s="9"/>
      <c r="AL20" s="9">
        <v>398.96149907965031</v>
      </c>
      <c r="AM20" s="9">
        <v>361.17158449555717</v>
      </c>
      <c r="AN20" s="9">
        <v>436.75141366374345</v>
      </c>
      <c r="AQ20" s="78"/>
    </row>
    <row r="21" spans="1:52">
      <c r="A21" s="82" t="s">
        <v>231</v>
      </c>
      <c r="B21" s="75" t="s">
        <v>228</v>
      </c>
      <c r="C21" s="89">
        <f>AVERAGE(D21:E21)</f>
        <v>7.1</v>
      </c>
      <c r="D21" s="92">
        <v>8.9</v>
      </c>
      <c r="E21" s="92">
        <v>5.3</v>
      </c>
      <c r="F21" s="48">
        <f t="shared" si="0"/>
        <v>468</v>
      </c>
      <c r="G21" s="48">
        <f t="shared" si="1"/>
        <v>308</v>
      </c>
      <c r="H21" s="48">
        <f t="shared" si="2"/>
        <v>628</v>
      </c>
      <c r="I21" s="69">
        <v>1170</v>
      </c>
      <c r="J21" s="69">
        <v>770</v>
      </c>
      <c r="K21" s="69">
        <v>1570</v>
      </c>
      <c r="L21" s="64">
        <v>5000</v>
      </c>
      <c r="M21" s="48">
        <v>2000</v>
      </c>
      <c r="N21" s="48"/>
      <c r="O21" s="61" t="s">
        <v>42</v>
      </c>
      <c r="P21" s="13" t="s">
        <v>148</v>
      </c>
      <c r="Q21" s="54">
        <v>3.0670000000000002</v>
      </c>
      <c r="R21" s="14"/>
      <c r="S21" s="14"/>
      <c r="T21" s="9">
        <f t="shared" si="4"/>
        <v>352.95196275765227</v>
      </c>
      <c r="U21" s="56">
        <v>321.22429934102917</v>
      </c>
      <c r="V21" s="57">
        <v>384.67962617427531</v>
      </c>
      <c r="X21" s="10" t="s">
        <v>38</v>
      </c>
      <c r="Y21" s="78" t="s">
        <v>292</v>
      </c>
      <c r="Z21" s="14">
        <f t="shared" si="6"/>
        <v>400.45000000000005</v>
      </c>
      <c r="AA21" s="18">
        <v>407.6</v>
      </c>
      <c r="AB21" s="18">
        <v>393.3</v>
      </c>
      <c r="AC21" s="12">
        <f t="shared" si="7"/>
        <v>2281.5</v>
      </c>
      <c r="AD21" s="9">
        <v>1521</v>
      </c>
      <c r="AE21" s="9">
        <f t="shared" si="8"/>
        <v>3042</v>
      </c>
      <c r="AF21" s="61" t="s">
        <v>118</v>
      </c>
      <c r="AG21" s="61" t="s">
        <v>42</v>
      </c>
      <c r="AH21" s="13" t="s">
        <v>148</v>
      </c>
      <c r="AI21" s="99">
        <v>2.9849999999999999</v>
      </c>
      <c r="AJ21" s="9"/>
      <c r="AK21" s="9"/>
      <c r="AL21" s="9">
        <v>401.98444283907816</v>
      </c>
      <c r="AM21" s="9">
        <v>364.52436511925379</v>
      </c>
      <c r="AN21" s="9">
        <v>439.44452055890258</v>
      </c>
      <c r="AQ21" s="78"/>
    </row>
    <row r="22" spans="1:52">
      <c r="A22" s="7" t="s">
        <v>54</v>
      </c>
      <c r="B22" s="72" t="s">
        <v>204</v>
      </c>
      <c r="C22" s="18">
        <v>55.5</v>
      </c>
      <c r="D22" s="18">
        <v>56</v>
      </c>
      <c r="E22" s="18">
        <v>55</v>
      </c>
      <c r="F22" s="31">
        <f t="shared" si="0"/>
        <v>100</v>
      </c>
      <c r="G22" s="31">
        <f t="shared" si="1"/>
        <v>60</v>
      </c>
      <c r="H22" s="31">
        <f t="shared" si="2"/>
        <v>140</v>
      </c>
      <c r="I22" s="69">
        <v>500</v>
      </c>
      <c r="J22" s="63">
        <v>300</v>
      </c>
      <c r="K22" s="61">
        <v>700</v>
      </c>
      <c r="L22" s="61">
        <v>10000</v>
      </c>
      <c r="M22" s="31">
        <v>2000</v>
      </c>
      <c r="N22" s="31"/>
      <c r="O22" s="61" t="s">
        <v>42</v>
      </c>
      <c r="P22" s="13" t="s">
        <v>148</v>
      </c>
      <c r="Q22" s="54">
        <v>3.1173000000000002</v>
      </c>
      <c r="R22" s="14"/>
      <c r="S22" s="14"/>
      <c r="T22" s="9">
        <f t="shared" si="4"/>
        <v>344.27854134921603</v>
      </c>
      <c r="U22" s="56">
        <v>313.33055172436713</v>
      </c>
      <c r="V22" s="57">
        <v>375.22653097406493</v>
      </c>
      <c r="X22" s="13" t="s">
        <v>53</v>
      </c>
      <c r="Y22" s="79" t="s">
        <v>294</v>
      </c>
      <c r="Z22" s="18">
        <f t="shared" si="6"/>
        <v>200.65</v>
      </c>
      <c r="AA22" s="18">
        <v>201.3</v>
      </c>
      <c r="AB22" s="18">
        <v>200</v>
      </c>
      <c r="AC22" s="12">
        <f t="shared" si="7"/>
        <v>715.5</v>
      </c>
      <c r="AD22" s="9">
        <f>1.59*300</f>
        <v>477</v>
      </c>
      <c r="AE22" s="9">
        <f t="shared" si="8"/>
        <v>954</v>
      </c>
      <c r="AF22" s="61" t="s">
        <v>118</v>
      </c>
      <c r="AG22" s="61" t="s">
        <v>42</v>
      </c>
      <c r="AH22" s="13" t="s">
        <v>148</v>
      </c>
      <c r="AI22" s="99">
        <v>3.0499000000000001</v>
      </c>
      <c r="AJ22" s="9"/>
      <c r="AK22" s="9"/>
      <c r="AL22" s="9">
        <v>427.9407648305172</v>
      </c>
      <c r="AM22" s="9">
        <v>382.66722854903861</v>
      </c>
      <c r="AN22" s="9">
        <v>473.21430111199578</v>
      </c>
      <c r="AQ22" s="79"/>
    </row>
    <row r="23" spans="1:52">
      <c r="A23" s="7" t="s">
        <v>54</v>
      </c>
      <c r="B23" s="72" t="s">
        <v>203</v>
      </c>
      <c r="C23" s="18">
        <v>56.5</v>
      </c>
      <c r="D23" s="18">
        <v>57</v>
      </c>
      <c r="E23" s="18">
        <v>56</v>
      </c>
      <c r="F23" s="31">
        <f t="shared" si="0"/>
        <v>100</v>
      </c>
      <c r="G23" s="31">
        <f t="shared" si="1"/>
        <v>60</v>
      </c>
      <c r="H23" s="31">
        <f t="shared" si="2"/>
        <v>140</v>
      </c>
      <c r="I23" s="69">
        <v>500</v>
      </c>
      <c r="J23" s="63">
        <v>300</v>
      </c>
      <c r="K23" s="63">
        <v>700</v>
      </c>
      <c r="L23" s="63">
        <v>10000</v>
      </c>
      <c r="M23" s="31">
        <v>2000</v>
      </c>
      <c r="N23" s="31"/>
      <c r="O23" s="61" t="s">
        <v>42</v>
      </c>
      <c r="P23" s="13" t="s">
        <v>148</v>
      </c>
      <c r="Q23" s="54">
        <v>3.1720000000000002</v>
      </c>
      <c r="R23" s="14"/>
      <c r="S23" s="14"/>
      <c r="T23" s="9">
        <f t="shared" si="4"/>
        <v>334.92962724978076</v>
      </c>
      <c r="U23" s="56">
        <v>304.82203300774904</v>
      </c>
      <c r="V23" s="57">
        <v>365.03722149181243</v>
      </c>
      <c r="X23" s="13" t="s">
        <v>53</v>
      </c>
      <c r="Y23" s="79" t="s">
        <v>295</v>
      </c>
      <c r="Z23" s="18">
        <v>201.3</v>
      </c>
      <c r="AA23" s="14">
        <f>Z23+0.5</f>
        <v>201.8</v>
      </c>
      <c r="AB23" s="14">
        <f>Z23-0.5</f>
        <v>200.8</v>
      </c>
      <c r="AC23" s="12">
        <f t="shared" si="7"/>
        <v>1534.5</v>
      </c>
      <c r="AD23" s="9">
        <f>3.41*300</f>
        <v>1023</v>
      </c>
      <c r="AE23" s="9">
        <f t="shared" si="8"/>
        <v>2046</v>
      </c>
      <c r="AF23" s="61" t="s">
        <v>118</v>
      </c>
      <c r="AG23" s="61" t="s">
        <v>42</v>
      </c>
      <c r="AH23" s="13" t="s">
        <v>148</v>
      </c>
      <c r="AI23" s="99">
        <v>3.1720000000000002</v>
      </c>
      <c r="AJ23" s="9"/>
      <c r="AK23" s="9"/>
      <c r="AL23" s="9">
        <v>336.11921593147872</v>
      </c>
      <c r="AM23" s="9">
        <v>315.00591173566909</v>
      </c>
      <c r="AN23" s="9">
        <v>357.23252012728841</v>
      </c>
      <c r="AQ23" s="79"/>
    </row>
    <row r="24" spans="1:52">
      <c r="A24" s="7" t="s">
        <v>52</v>
      </c>
      <c r="B24" s="72" t="s">
        <v>205</v>
      </c>
      <c r="C24" s="18">
        <f>AVERAGE(D24:E24)</f>
        <v>69.05</v>
      </c>
      <c r="D24" s="18">
        <v>72.099999999999994</v>
      </c>
      <c r="E24" s="18">
        <v>66</v>
      </c>
      <c r="F24" s="31">
        <f t="shared" si="0"/>
        <v>60</v>
      </c>
      <c r="G24" s="31">
        <f t="shared" si="1"/>
        <v>0</v>
      </c>
      <c r="H24" s="31">
        <f t="shared" si="2"/>
        <v>260</v>
      </c>
      <c r="I24" s="63">
        <v>300</v>
      </c>
      <c r="J24" s="63">
        <v>0</v>
      </c>
      <c r="K24" s="61">
        <v>1300</v>
      </c>
      <c r="L24" s="61">
        <v>10000</v>
      </c>
      <c r="M24" s="31">
        <v>2000</v>
      </c>
      <c r="N24" s="31"/>
      <c r="O24" s="61" t="s">
        <v>42</v>
      </c>
      <c r="P24" s="13" t="s">
        <v>148</v>
      </c>
      <c r="Q24" s="54">
        <v>3.2290000000000001</v>
      </c>
      <c r="R24" s="14"/>
      <c r="S24" s="14"/>
      <c r="T24" s="9">
        <f t="shared" si="4"/>
        <v>340.88392293755709</v>
      </c>
      <c r="U24" s="56">
        <v>310.24108336641945</v>
      </c>
      <c r="V24" s="57">
        <v>371.52676250869473</v>
      </c>
      <c r="X24" s="13" t="s">
        <v>53</v>
      </c>
      <c r="Y24" s="79" t="s">
        <v>296</v>
      </c>
      <c r="Z24" s="14">
        <f t="shared" ref="Z24:Z32" si="9">AVERAGE(AA24:AB24)</f>
        <v>201.55</v>
      </c>
      <c r="AA24" s="14">
        <v>201.8</v>
      </c>
      <c r="AB24" s="14">
        <v>201.3</v>
      </c>
      <c r="AC24" s="12">
        <f t="shared" si="7"/>
        <v>702</v>
      </c>
      <c r="AD24" s="9">
        <f>1.56*300</f>
        <v>468</v>
      </c>
      <c r="AE24" s="9">
        <f t="shared" si="8"/>
        <v>936</v>
      </c>
      <c r="AF24" s="61" t="s">
        <v>118</v>
      </c>
      <c r="AG24" s="61" t="s">
        <v>42</v>
      </c>
      <c r="AH24" s="13" t="s">
        <v>148</v>
      </c>
      <c r="AI24" s="99">
        <v>3.4959000000000002</v>
      </c>
      <c r="AJ24" s="9"/>
      <c r="AK24" s="9"/>
      <c r="AL24" s="9">
        <v>366.25525187898506</v>
      </c>
      <c r="AM24" s="9">
        <v>339.98342790849921</v>
      </c>
      <c r="AN24" s="9">
        <v>392.52707584947098</v>
      </c>
      <c r="AQ24" s="79"/>
    </row>
    <row r="25" spans="1:52">
      <c r="A25" s="20" t="s">
        <v>230</v>
      </c>
      <c r="B25" s="75" t="s">
        <v>234</v>
      </c>
      <c r="C25" s="18">
        <v>7</v>
      </c>
      <c r="D25" s="18">
        <v>9</v>
      </c>
      <c r="E25" s="18">
        <v>5</v>
      </c>
      <c r="F25" s="31">
        <f t="shared" si="0"/>
        <v>148</v>
      </c>
      <c r="G25" s="31">
        <f t="shared" si="1"/>
        <v>0</v>
      </c>
      <c r="H25" s="31">
        <f t="shared" si="2"/>
        <v>388</v>
      </c>
      <c r="I25" s="63">
        <v>370</v>
      </c>
      <c r="J25" s="63">
        <v>0</v>
      </c>
      <c r="K25" s="61">
        <v>970</v>
      </c>
      <c r="L25" s="61">
        <v>5000</v>
      </c>
      <c r="M25" s="31">
        <v>2000</v>
      </c>
      <c r="N25" s="31"/>
      <c r="O25" s="61" t="s">
        <v>42</v>
      </c>
      <c r="P25" s="13" t="s">
        <v>148</v>
      </c>
      <c r="Q25" s="54">
        <v>3.6249000000000002</v>
      </c>
      <c r="R25" s="14"/>
      <c r="S25" s="14"/>
      <c r="T25" s="9">
        <f t="shared" si="4"/>
        <v>362.00610796815101</v>
      </c>
      <c r="U25" s="56">
        <v>329.46454662185084</v>
      </c>
      <c r="V25" s="57">
        <v>394.54766931445124</v>
      </c>
      <c r="X25" s="35" t="s">
        <v>29</v>
      </c>
      <c r="Y25" s="97" t="s">
        <v>331</v>
      </c>
      <c r="Z25" s="89">
        <f t="shared" si="9"/>
        <v>135.10000000000002</v>
      </c>
      <c r="AA25" s="89">
        <v>139.4</v>
      </c>
      <c r="AB25" s="89">
        <v>130.80000000000001</v>
      </c>
      <c r="AC25" s="12">
        <v>1448.1617647058824</v>
      </c>
      <c r="AD25" s="9">
        <v>965.44117647058829</v>
      </c>
      <c r="AE25" s="9">
        <v>1930.8823529411766</v>
      </c>
      <c r="AF25" s="61" t="s">
        <v>118</v>
      </c>
      <c r="AG25" s="61" t="s">
        <v>42</v>
      </c>
      <c r="AH25" s="13" t="s">
        <v>438</v>
      </c>
      <c r="AI25" s="29">
        <v>1.9751320000000001</v>
      </c>
      <c r="AJ25" s="9"/>
      <c r="AK25" s="9"/>
      <c r="AL25" s="9">
        <v>218.6</v>
      </c>
      <c r="AM25" s="9">
        <v>172.93849804266179</v>
      </c>
      <c r="AN25" s="9">
        <v>270.51761165539108</v>
      </c>
      <c r="AQ25" s="79"/>
    </row>
    <row r="26" spans="1:52">
      <c r="A26" s="20" t="s">
        <v>230</v>
      </c>
      <c r="B26" s="75" t="s">
        <v>234</v>
      </c>
      <c r="C26" s="18">
        <v>9</v>
      </c>
      <c r="D26" s="18">
        <v>11</v>
      </c>
      <c r="E26" s="18">
        <v>7</v>
      </c>
      <c r="F26" s="31">
        <f t="shared" si="0"/>
        <v>204</v>
      </c>
      <c r="G26" s="31">
        <f t="shared" si="1"/>
        <v>44</v>
      </c>
      <c r="H26" s="31">
        <f t="shared" si="2"/>
        <v>364</v>
      </c>
      <c r="I26" s="63">
        <v>510</v>
      </c>
      <c r="J26" s="63">
        <v>110</v>
      </c>
      <c r="K26" s="61">
        <v>910</v>
      </c>
      <c r="L26" s="61">
        <v>5000</v>
      </c>
      <c r="M26" s="31">
        <v>2000</v>
      </c>
      <c r="N26" s="31"/>
      <c r="O26" s="61" t="s">
        <v>42</v>
      </c>
      <c r="P26" s="13" t="s">
        <v>148</v>
      </c>
      <c r="Q26" s="54">
        <v>3.8461999999999996</v>
      </c>
      <c r="R26" s="14"/>
      <c r="S26" s="14"/>
      <c r="T26" s="9">
        <f t="shared" si="4"/>
        <v>356.93720184432556</v>
      </c>
      <c r="U26" s="56">
        <v>324.85129612359731</v>
      </c>
      <c r="V26" s="57">
        <v>389.02310756505381</v>
      </c>
      <c r="X26" s="13" t="s">
        <v>29</v>
      </c>
      <c r="Y26" s="79" t="s">
        <v>297</v>
      </c>
      <c r="Z26" s="18">
        <f t="shared" si="9"/>
        <v>172.2</v>
      </c>
      <c r="AA26" s="18">
        <v>174.1</v>
      </c>
      <c r="AB26" s="18">
        <v>170.3</v>
      </c>
      <c r="AC26" s="12">
        <v>1893.75</v>
      </c>
      <c r="AD26" s="9">
        <v>1262.5</v>
      </c>
      <c r="AE26" s="9">
        <v>2525</v>
      </c>
      <c r="AF26" s="61" t="s">
        <v>118</v>
      </c>
      <c r="AG26" s="61" t="s">
        <v>42</v>
      </c>
      <c r="AH26" s="13" t="s">
        <v>438</v>
      </c>
      <c r="AI26" s="29">
        <v>2.0265420000000001</v>
      </c>
      <c r="AJ26" s="9"/>
      <c r="AK26" s="9"/>
      <c r="AL26" s="9">
        <v>261.7</v>
      </c>
      <c r="AM26" s="9">
        <v>210.23588065214756</v>
      </c>
      <c r="AN26" s="9">
        <v>321.05887128306938</v>
      </c>
      <c r="AQ26" s="79"/>
    </row>
    <row r="27" spans="1:52">
      <c r="A27" s="20" t="s">
        <v>230</v>
      </c>
      <c r="B27" s="75" t="s">
        <v>234</v>
      </c>
      <c r="C27" s="18">
        <v>13</v>
      </c>
      <c r="D27" s="18">
        <v>15</v>
      </c>
      <c r="E27" s="18">
        <v>11</v>
      </c>
      <c r="F27" s="31">
        <f t="shared" si="0"/>
        <v>296</v>
      </c>
      <c r="G27" s="31">
        <f t="shared" si="1"/>
        <v>176</v>
      </c>
      <c r="H27" s="31">
        <f t="shared" si="2"/>
        <v>416</v>
      </c>
      <c r="I27" s="63">
        <v>740</v>
      </c>
      <c r="J27" s="63">
        <v>440</v>
      </c>
      <c r="K27" s="61">
        <v>1040</v>
      </c>
      <c r="L27" s="61">
        <v>5000</v>
      </c>
      <c r="M27" s="31">
        <v>2000</v>
      </c>
      <c r="N27" s="31"/>
      <c r="O27" s="61" t="s">
        <v>42</v>
      </c>
      <c r="P27" s="13" t="s">
        <v>148</v>
      </c>
      <c r="Q27" s="54">
        <v>3.9335</v>
      </c>
      <c r="R27" s="14"/>
      <c r="S27" s="14"/>
      <c r="T27" s="9">
        <f t="shared" si="4"/>
        <v>337.71161539321145</v>
      </c>
      <c r="U27" s="56">
        <v>307.35394184079945</v>
      </c>
      <c r="V27" s="57">
        <v>368.06928894562344</v>
      </c>
      <c r="X27" s="13" t="s">
        <v>29</v>
      </c>
      <c r="Y27" s="79" t="s">
        <v>211</v>
      </c>
      <c r="Z27" s="18">
        <f t="shared" si="9"/>
        <v>187.7</v>
      </c>
      <c r="AA27" s="18">
        <v>201.3</v>
      </c>
      <c r="AB27" s="18">
        <v>174.1</v>
      </c>
      <c r="AC27" s="12">
        <v>734.88805970149247</v>
      </c>
      <c r="AD27" s="9">
        <v>489.92537313432831</v>
      </c>
      <c r="AE27" s="9">
        <v>979.85074626865662</v>
      </c>
      <c r="AF27" s="61" t="s">
        <v>118</v>
      </c>
      <c r="AG27" s="61" t="s">
        <v>42</v>
      </c>
      <c r="AH27" s="13" t="s">
        <v>438</v>
      </c>
      <c r="AI27" s="29">
        <v>2.0780945449999999</v>
      </c>
      <c r="AJ27" s="9"/>
      <c r="AK27" s="9"/>
      <c r="AL27" s="9">
        <v>245.7</v>
      </c>
      <c r="AM27" s="9">
        <v>196.43000771006757</v>
      </c>
      <c r="AN27" s="9">
        <v>302.25740093038223</v>
      </c>
      <c r="AO27" s="9"/>
      <c r="AQ27" s="79"/>
    </row>
    <row r="28" spans="1:52">
      <c r="A28" s="20" t="s">
        <v>230</v>
      </c>
      <c r="B28" s="75" t="s">
        <v>234</v>
      </c>
      <c r="C28" s="18">
        <v>13</v>
      </c>
      <c r="D28" s="18">
        <v>15</v>
      </c>
      <c r="E28" s="18">
        <v>11</v>
      </c>
      <c r="F28" s="31">
        <f t="shared" si="0"/>
        <v>176</v>
      </c>
      <c r="G28" s="31">
        <f t="shared" si="1"/>
        <v>56</v>
      </c>
      <c r="H28" s="31">
        <f t="shared" si="2"/>
        <v>296</v>
      </c>
      <c r="I28" s="63">
        <v>440</v>
      </c>
      <c r="J28" s="63">
        <v>140</v>
      </c>
      <c r="K28" s="61">
        <v>740</v>
      </c>
      <c r="L28" s="61">
        <v>5000</v>
      </c>
      <c r="M28" s="31">
        <v>2000</v>
      </c>
      <c r="N28" s="31"/>
      <c r="O28" s="61" t="s">
        <v>42</v>
      </c>
      <c r="P28" s="13" t="s">
        <v>148</v>
      </c>
      <c r="Q28" s="54">
        <v>4.0279999999999996</v>
      </c>
      <c r="R28" s="14"/>
      <c r="S28" s="14"/>
      <c r="T28" s="9">
        <f t="shared" si="4"/>
        <v>329.41104829695638</v>
      </c>
      <c r="U28" s="56">
        <v>299.79953180495409</v>
      </c>
      <c r="V28" s="57">
        <v>359.02256478895868</v>
      </c>
      <c r="X28" s="13" t="s">
        <v>40</v>
      </c>
      <c r="Y28" s="79" t="s">
        <v>408</v>
      </c>
      <c r="Z28" s="14">
        <f t="shared" si="9"/>
        <v>44.5</v>
      </c>
      <c r="AA28" s="14">
        <v>47.8</v>
      </c>
      <c r="AB28" s="14">
        <v>41.2</v>
      </c>
      <c r="AC28" s="9">
        <f>AVERAGE(AD28:AE28)</f>
        <v>964.5</v>
      </c>
      <c r="AD28" s="9">
        <v>643</v>
      </c>
      <c r="AE28" s="9">
        <f>AD28*2</f>
        <v>1286</v>
      </c>
      <c r="AF28" s="61" t="s">
        <v>118</v>
      </c>
      <c r="AG28" s="61" t="s">
        <v>42</v>
      </c>
      <c r="AH28" s="13" t="s">
        <v>438</v>
      </c>
      <c r="AI28" s="29">
        <v>2.1610079999999998</v>
      </c>
      <c r="AJ28" s="9"/>
      <c r="AK28" s="9"/>
      <c r="AL28" s="9">
        <v>221.2</v>
      </c>
      <c r="AM28" s="9">
        <v>175.19886953562988</v>
      </c>
      <c r="AN28" s="9">
        <v>273.55625655067405</v>
      </c>
      <c r="AO28" s="9"/>
      <c r="AQ28" s="79"/>
    </row>
    <row r="29" spans="1:52">
      <c r="A29" s="7" t="s">
        <v>51</v>
      </c>
      <c r="B29" s="72" t="s">
        <v>240</v>
      </c>
      <c r="C29" s="18">
        <f t="shared" ref="C29:C37" si="10">AVERAGE(D29:E29)</f>
        <v>285.60000000000002</v>
      </c>
      <c r="D29" s="18">
        <v>298.89999999999998</v>
      </c>
      <c r="E29" s="18">
        <v>272.3</v>
      </c>
      <c r="F29" s="31">
        <f t="shared" si="0"/>
        <v>70</v>
      </c>
      <c r="G29" s="31">
        <f t="shared" si="1"/>
        <v>60</v>
      </c>
      <c r="H29" s="31">
        <f t="shared" si="2"/>
        <v>80</v>
      </c>
      <c r="I29" s="63">
        <v>175</v>
      </c>
      <c r="J29" s="63">
        <v>150</v>
      </c>
      <c r="K29" s="61">
        <v>200</v>
      </c>
      <c r="L29" s="61">
        <v>5000</v>
      </c>
      <c r="M29" s="31">
        <v>2000</v>
      </c>
      <c r="N29" s="31"/>
      <c r="O29" s="61" t="s">
        <v>42</v>
      </c>
      <c r="P29" s="13" t="s">
        <v>148</v>
      </c>
      <c r="Q29" s="54">
        <v>4.1135000000000002</v>
      </c>
      <c r="R29" s="14"/>
      <c r="S29" s="14"/>
      <c r="T29" s="9">
        <f t="shared" si="4"/>
        <v>353.70350366820401</v>
      </c>
      <c r="U29" s="56">
        <v>321.90828251123713</v>
      </c>
      <c r="V29" s="57">
        <v>385.49872482517088</v>
      </c>
      <c r="X29" s="13" t="s">
        <v>0</v>
      </c>
      <c r="Y29" s="79" t="s">
        <v>325</v>
      </c>
      <c r="Z29" s="14">
        <f t="shared" si="9"/>
        <v>15.149999999999999</v>
      </c>
      <c r="AA29" s="14">
        <v>16.649999999999999</v>
      </c>
      <c r="AB29" s="14">
        <v>13.65</v>
      </c>
      <c r="AC29" s="49">
        <v>338</v>
      </c>
      <c r="AD29" s="49">
        <v>304</v>
      </c>
      <c r="AE29" s="49">
        <v>705</v>
      </c>
      <c r="AF29" s="50" t="s">
        <v>376</v>
      </c>
      <c r="AG29" s="61" t="s">
        <v>42</v>
      </c>
      <c r="AH29" s="13" t="s">
        <v>438</v>
      </c>
      <c r="AI29" s="29">
        <v>2.1660379999999999</v>
      </c>
      <c r="AJ29" s="9"/>
      <c r="AK29" s="9"/>
      <c r="AL29" s="9">
        <v>382.6</v>
      </c>
      <c r="AM29" s="9">
        <v>313.54009382427455</v>
      </c>
      <c r="AN29" s="9">
        <v>464.08196364840506</v>
      </c>
      <c r="AO29" s="9"/>
      <c r="AQ29" s="79"/>
    </row>
    <row r="30" spans="1:52">
      <c r="A30" s="7" t="s">
        <v>51</v>
      </c>
      <c r="B30" s="72" t="s">
        <v>219</v>
      </c>
      <c r="C30" s="18">
        <f t="shared" si="10"/>
        <v>302.95</v>
      </c>
      <c r="D30" s="18">
        <v>307</v>
      </c>
      <c r="E30" s="18">
        <v>298.89999999999998</v>
      </c>
      <c r="F30" s="31">
        <f t="shared" si="0"/>
        <v>250</v>
      </c>
      <c r="G30" s="31">
        <f t="shared" si="1"/>
        <v>180</v>
      </c>
      <c r="H30" s="31">
        <f t="shared" si="2"/>
        <v>320</v>
      </c>
      <c r="I30" s="63">
        <v>625</v>
      </c>
      <c r="J30" s="63">
        <v>450</v>
      </c>
      <c r="K30" s="61">
        <v>800</v>
      </c>
      <c r="L30" s="61">
        <v>5000</v>
      </c>
      <c r="M30" s="31">
        <v>2000</v>
      </c>
      <c r="N30" s="31"/>
      <c r="O30" s="61" t="s">
        <v>42</v>
      </c>
      <c r="P30" s="13" t="s">
        <v>148</v>
      </c>
      <c r="Q30" s="54">
        <v>4.3419999999999996</v>
      </c>
      <c r="R30" s="14"/>
      <c r="S30" s="14"/>
      <c r="T30" s="9">
        <f t="shared" si="4"/>
        <v>381.05255097738018</v>
      </c>
      <c r="U30" s="56">
        <v>347.72501876131383</v>
      </c>
      <c r="V30" s="57">
        <v>414.38008319344658</v>
      </c>
      <c r="X30" s="13" t="s">
        <v>0</v>
      </c>
      <c r="Y30" s="79" t="s">
        <v>325</v>
      </c>
      <c r="Z30" s="14">
        <f t="shared" si="9"/>
        <v>15.25</v>
      </c>
      <c r="AA30" s="14">
        <v>16.75</v>
      </c>
      <c r="AB30" s="14">
        <v>13.75</v>
      </c>
      <c r="AC30" s="49">
        <v>338</v>
      </c>
      <c r="AD30" s="49">
        <v>304</v>
      </c>
      <c r="AE30" s="49">
        <v>705</v>
      </c>
      <c r="AF30" s="50" t="s">
        <v>376</v>
      </c>
      <c r="AG30" s="61" t="s">
        <v>42</v>
      </c>
      <c r="AH30" s="13" t="s">
        <v>438</v>
      </c>
      <c r="AI30" s="29">
        <v>2.2019440000000001</v>
      </c>
      <c r="AJ30" s="9"/>
      <c r="AK30" s="9"/>
      <c r="AL30" s="9">
        <v>385.8</v>
      </c>
      <c r="AM30" s="9">
        <v>316.25710928498876</v>
      </c>
      <c r="AN30" s="9">
        <v>467.8832845346725</v>
      </c>
      <c r="AO30" s="9"/>
      <c r="AQ30" s="79"/>
    </row>
    <row r="31" spans="1:52">
      <c r="A31" s="7" t="s">
        <v>51</v>
      </c>
      <c r="B31" s="72" t="s">
        <v>239</v>
      </c>
      <c r="C31" s="18">
        <f t="shared" si="10"/>
        <v>327.04999999999995</v>
      </c>
      <c r="D31" s="18">
        <v>330.9</v>
      </c>
      <c r="E31" s="18">
        <v>323.2</v>
      </c>
      <c r="F31" s="31">
        <f t="shared" si="0"/>
        <v>290</v>
      </c>
      <c r="G31" s="31">
        <f t="shared" si="1"/>
        <v>240</v>
      </c>
      <c r="H31" s="31">
        <f t="shared" si="2"/>
        <v>400</v>
      </c>
      <c r="I31" s="63">
        <v>725</v>
      </c>
      <c r="J31" s="63">
        <v>600</v>
      </c>
      <c r="K31" s="61">
        <v>1000</v>
      </c>
      <c r="L31" s="61">
        <v>5000</v>
      </c>
      <c r="M31" s="31">
        <v>2000</v>
      </c>
      <c r="N31" s="31"/>
      <c r="O31" s="61" t="s">
        <v>42</v>
      </c>
      <c r="P31" s="13" t="s">
        <v>148</v>
      </c>
      <c r="Q31" s="54">
        <v>4.4336000000000002</v>
      </c>
      <c r="R31" s="14"/>
      <c r="S31" s="14"/>
      <c r="T31" s="9">
        <f t="shared" si="4"/>
        <v>350.95069227349984</v>
      </c>
      <c r="U31" s="56">
        <v>320.26314723198499</v>
      </c>
      <c r="V31" s="57">
        <v>381.63823731501463</v>
      </c>
      <c r="X31" s="13" t="s">
        <v>0</v>
      </c>
      <c r="Y31" s="79" t="s">
        <v>325</v>
      </c>
      <c r="Z31" s="14">
        <f t="shared" si="9"/>
        <v>15.3</v>
      </c>
      <c r="AA31" s="14">
        <v>16.8</v>
      </c>
      <c r="AB31" s="14">
        <v>13.8</v>
      </c>
      <c r="AC31" s="49">
        <v>314</v>
      </c>
      <c r="AD31" s="49">
        <v>304</v>
      </c>
      <c r="AE31" s="49">
        <v>591</v>
      </c>
      <c r="AF31" s="50" t="s">
        <v>376</v>
      </c>
      <c r="AG31" s="61" t="s">
        <v>42</v>
      </c>
      <c r="AH31" s="13" t="s">
        <v>438</v>
      </c>
      <c r="AI31" s="29">
        <v>2.3046720000000001</v>
      </c>
      <c r="AJ31" s="9"/>
      <c r="AK31" s="9"/>
      <c r="AL31" s="9">
        <v>237.6</v>
      </c>
      <c r="AM31" s="9">
        <v>189.42372351457618</v>
      </c>
      <c r="AN31" s="9">
        <v>292.75569236262021</v>
      </c>
      <c r="AO31" s="9"/>
      <c r="AQ31" s="79"/>
    </row>
    <row r="32" spans="1:52">
      <c r="A32" s="7" t="s">
        <v>51</v>
      </c>
      <c r="B32" s="72" t="s">
        <v>239</v>
      </c>
      <c r="C32" s="18">
        <f t="shared" si="10"/>
        <v>327.04999999999995</v>
      </c>
      <c r="D32" s="18">
        <v>330.9</v>
      </c>
      <c r="E32" s="18">
        <v>323.2</v>
      </c>
      <c r="F32" s="31">
        <f t="shared" si="0"/>
        <v>210</v>
      </c>
      <c r="G32" s="31">
        <f t="shared" si="1"/>
        <v>180</v>
      </c>
      <c r="H32" s="31">
        <f t="shared" si="2"/>
        <v>240</v>
      </c>
      <c r="I32" s="63">
        <v>525</v>
      </c>
      <c r="J32" s="63">
        <v>450</v>
      </c>
      <c r="K32" s="61">
        <v>600</v>
      </c>
      <c r="L32" s="61">
        <v>5000</v>
      </c>
      <c r="M32" s="31">
        <v>2000</v>
      </c>
      <c r="N32" s="31"/>
      <c r="O32" s="61" t="s">
        <v>42</v>
      </c>
      <c r="P32" s="13" t="s">
        <v>148</v>
      </c>
      <c r="Q32" s="54">
        <v>4.5773999999999999</v>
      </c>
      <c r="R32" s="14"/>
      <c r="S32" s="14"/>
      <c r="T32" s="9">
        <f t="shared" si="4"/>
        <v>369.80794382138868</v>
      </c>
      <c r="U32" s="56">
        <v>337.47021036752602</v>
      </c>
      <c r="V32" s="57">
        <v>402.14567727525139</v>
      </c>
      <c r="X32" s="13" t="s">
        <v>0</v>
      </c>
      <c r="Y32" s="79" t="s">
        <v>325</v>
      </c>
      <c r="Z32" s="14">
        <f t="shared" si="9"/>
        <v>16.5</v>
      </c>
      <c r="AA32" s="14">
        <v>18</v>
      </c>
      <c r="AB32" s="14">
        <v>15</v>
      </c>
      <c r="AC32" s="49">
        <v>535</v>
      </c>
      <c r="AD32" s="49">
        <v>350</v>
      </c>
      <c r="AE32" s="49">
        <v>782</v>
      </c>
      <c r="AF32" s="50" t="s">
        <v>376</v>
      </c>
      <c r="AG32" s="61" t="s">
        <v>42</v>
      </c>
      <c r="AH32" s="13" t="s">
        <v>438</v>
      </c>
      <c r="AI32" s="29">
        <v>2.502936</v>
      </c>
      <c r="AJ32" s="9"/>
      <c r="AK32" s="9"/>
      <c r="AL32" s="9">
        <v>367.4</v>
      </c>
      <c r="AM32" s="9">
        <v>300.62496244104386</v>
      </c>
      <c r="AN32" s="9">
        <v>446.03402825749163</v>
      </c>
      <c r="AO32" s="9"/>
      <c r="AQ32" s="79"/>
    </row>
    <row r="33" spans="1:43">
      <c r="A33" s="7" t="s">
        <v>51</v>
      </c>
      <c r="B33" s="72" t="s">
        <v>238</v>
      </c>
      <c r="C33" s="18">
        <f t="shared" si="10"/>
        <v>332.6</v>
      </c>
      <c r="D33" s="18">
        <v>346.7</v>
      </c>
      <c r="E33" s="18">
        <v>318.5</v>
      </c>
      <c r="F33" s="31">
        <f t="shared" si="0"/>
        <v>320</v>
      </c>
      <c r="G33" s="31">
        <f t="shared" si="1"/>
        <v>240</v>
      </c>
      <c r="H33" s="31">
        <f t="shared" si="2"/>
        <v>400</v>
      </c>
      <c r="I33" s="63">
        <v>800</v>
      </c>
      <c r="J33" s="63">
        <v>600</v>
      </c>
      <c r="K33" s="61">
        <v>1000</v>
      </c>
      <c r="L33" s="61">
        <v>5000</v>
      </c>
      <c r="M33" s="31">
        <v>2000</v>
      </c>
      <c r="N33" s="31"/>
      <c r="O33" s="61" t="s">
        <v>42</v>
      </c>
      <c r="P33" s="13" t="s">
        <v>148</v>
      </c>
      <c r="Q33" s="54">
        <v>4.7809999999999997</v>
      </c>
      <c r="R33" s="14"/>
      <c r="S33" s="14"/>
      <c r="T33" s="9">
        <f t="shared" si="4"/>
        <v>351.11764729929257</v>
      </c>
      <c r="U33" s="56">
        <v>320.42008411205848</v>
      </c>
      <c r="V33" s="57">
        <v>381.81521048652661</v>
      </c>
      <c r="X33" s="13" t="s">
        <v>0</v>
      </c>
      <c r="Y33" s="79" t="s">
        <v>298</v>
      </c>
      <c r="Z33" s="14">
        <f>54.033+0.2</f>
        <v>54.233000000000004</v>
      </c>
      <c r="AA33" s="14">
        <f>Z33+0.1</f>
        <v>54.333000000000006</v>
      </c>
      <c r="AB33" s="14">
        <f>Z33-0.1</f>
        <v>54.133000000000003</v>
      </c>
      <c r="AC33" s="51">
        <v>442.87700000000001</v>
      </c>
      <c r="AD33" s="51">
        <v>323.41300000000001</v>
      </c>
      <c r="AE33" s="51">
        <v>743.19100000000003</v>
      </c>
      <c r="AF33" s="50" t="s">
        <v>376</v>
      </c>
      <c r="AG33" s="61" t="s">
        <v>42</v>
      </c>
      <c r="AH33" s="13" t="s">
        <v>438</v>
      </c>
      <c r="AI33" s="29">
        <v>2.5585770000000001</v>
      </c>
      <c r="AJ33" s="14"/>
      <c r="AK33" s="9"/>
      <c r="AL33" s="9">
        <v>309.7</v>
      </c>
      <c r="AM33" s="9">
        <v>251.43113095099579</v>
      </c>
      <c r="AN33" s="9">
        <v>377.67472765668134</v>
      </c>
      <c r="AO33" s="9"/>
      <c r="AQ33" s="79"/>
    </row>
    <row r="34" spans="1:43">
      <c r="A34" s="7" t="s">
        <v>51</v>
      </c>
      <c r="B34" s="72" t="s">
        <v>406</v>
      </c>
      <c r="C34" s="18">
        <f t="shared" si="10"/>
        <v>338.79999999999995</v>
      </c>
      <c r="D34" s="18">
        <v>346.7</v>
      </c>
      <c r="E34" s="18">
        <v>330.9</v>
      </c>
      <c r="F34" s="31">
        <f t="shared" si="0"/>
        <v>190</v>
      </c>
      <c r="G34" s="31">
        <f t="shared" si="1"/>
        <v>180</v>
      </c>
      <c r="H34" s="31">
        <f t="shared" si="2"/>
        <v>200</v>
      </c>
      <c r="I34" s="63">
        <v>475</v>
      </c>
      <c r="J34" s="63">
        <v>450</v>
      </c>
      <c r="K34" s="61">
        <v>500</v>
      </c>
      <c r="L34" s="61">
        <v>5000</v>
      </c>
      <c r="M34" s="31">
        <v>2000</v>
      </c>
      <c r="N34" s="31"/>
      <c r="O34" s="61" t="s">
        <v>42</v>
      </c>
      <c r="P34" s="13" t="s">
        <v>148</v>
      </c>
      <c r="Q34" s="54">
        <v>4.8620000000000001</v>
      </c>
      <c r="R34" s="14"/>
      <c r="S34" s="14"/>
      <c r="T34" s="9">
        <f t="shared" si="4"/>
        <v>383.39148647524951</v>
      </c>
      <c r="U34" s="56">
        <v>349.87423153836357</v>
      </c>
      <c r="V34" s="57">
        <v>416.90874141213544</v>
      </c>
      <c r="X34" s="13" t="s">
        <v>0</v>
      </c>
      <c r="Y34" s="79" t="s">
        <v>317</v>
      </c>
      <c r="Z34" s="14">
        <f>54.09+0.2</f>
        <v>54.290000000000006</v>
      </c>
      <c r="AA34" s="14">
        <f>Z34+0.1</f>
        <v>54.390000000000008</v>
      </c>
      <c r="AB34" s="14">
        <f>Z34-0.1</f>
        <v>54.190000000000005</v>
      </c>
      <c r="AC34" s="51">
        <v>327.36200000000002</v>
      </c>
      <c r="AD34" s="51">
        <v>313.54000000000002</v>
      </c>
      <c r="AE34" s="51">
        <v>475.029</v>
      </c>
      <c r="AF34" s="50" t="s">
        <v>376</v>
      </c>
      <c r="AG34" s="61" t="s">
        <v>42</v>
      </c>
      <c r="AH34" s="13" t="s">
        <v>438</v>
      </c>
      <c r="AI34" s="29">
        <v>2.6008620000000002</v>
      </c>
      <c r="AJ34" s="14"/>
      <c r="AK34" s="9"/>
      <c r="AL34" s="9">
        <v>202.6</v>
      </c>
      <c r="AM34" s="9">
        <v>158.99383024158163</v>
      </c>
      <c r="AN34" s="9">
        <v>251.85312578913138</v>
      </c>
      <c r="AO34" s="9"/>
      <c r="AQ34" s="79"/>
    </row>
    <row r="35" spans="1:43">
      <c r="A35" s="7" t="s">
        <v>51</v>
      </c>
      <c r="B35" s="72" t="s">
        <v>237</v>
      </c>
      <c r="C35" s="18">
        <f t="shared" si="10"/>
        <v>365.54999999999995</v>
      </c>
      <c r="D35" s="18">
        <v>372.2</v>
      </c>
      <c r="E35" s="18">
        <v>358.9</v>
      </c>
      <c r="F35" s="31">
        <f t="shared" si="0"/>
        <v>395.2</v>
      </c>
      <c r="G35" s="31">
        <f t="shared" si="1"/>
        <v>280</v>
      </c>
      <c r="H35" s="31">
        <f t="shared" si="2"/>
        <v>510</v>
      </c>
      <c r="I35" s="63">
        <v>988</v>
      </c>
      <c r="J35" s="63">
        <v>700</v>
      </c>
      <c r="K35" s="61">
        <v>1275</v>
      </c>
      <c r="L35" s="61">
        <v>5000</v>
      </c>
      <c r="M35" s="31">
        <v>2000</v>
      </c>
      <c r="N35" s="31"/>
      <c r="O35" s="61" t="s">
        <v>42</v>
      </c>
      <c r="P35" s="13" t="s">
        <v>148</v>
      </c>
      <c r="Q35" s="54">
        <v>4.9432</v>
      </c>
      <c r="R35" s="14"/>
      <c r="S35" s="14"/>
      <c r="T35" s="9">
        <f t="shared" si="4"/>
        <v>422.30733086549492</v>
      </c>
      <c r="U35" s="56">
        <v>385.38613377759845</v>
      </c>
      <c r="V35" s="57">
        <v>459.22852795339134</v>
      </c>
      <c r="X35" s="13" t="s">
        <v>0</v>
      </c>
      <c r="Y35" s="79" t="s">
        <v>299</v>
      </c>
      <c r="Z35" s="14">
        <f>54.5+0.2</f>
        <v>54.7</v>
      </c>
      <c r="AA35" s="14">
        <f>Z35+0.1</f>
        <v>54.800000000000004</v>
      </c>
      <c r="AB35" s="14">
        <f>Z35-0.1</f>
        <v>54.6</v>
      </c>
      <c r="AC35" s="51">
        <v>377.71499999999997</v>
      </c>
      <c r="AD35" s="51">
        <v>328.35</v>
      </c>
      <c r="AE35" s="51">
        <v>712.66600000000005</v>
      </c>
      <c r="AF35" s="50" t="s">
        <v>376</v>
      </c>
      <c r="AG35" s="61" t="s">
        <v>42</v>
      </c>
      <c r="AH35" s="13" t="s">
        <v>438</v>
      </c>
      <c r="AI35" s="29">
        <v>2.685473</v>
      </c>
      <c r="AJ35" s="14"/>
      <c r="AK35" s="9"/>
      <c r="AL35" s="9">
        <v>193.5</v>
      </c>
      <c r="AM35" s="9">
        <v>151.03395172317067</v>
      </c>
      <c r="AN35" s="9">
        <v>241.26703884479338</v>
      </c>
      <c r="AO35" s="9"/>
      <c r="AQ35" s="79"/>
    </row>
    <row r="36" spans="1:43">
      <c r="A36" s="7" t="s">
        <v>51</v>
      </c>
      <c r="B36" s="72" t="s">
        <v>236</v>
      </c>
      <c r="C36" s="18">
        <f t="shared" si="10"/>
        <v>365.54999999999995</v>
      </c>
      <c r="D36" s="18">
        <v>372.2</v>
      </c>
      <c r="E36" s="18">
        <v>358.9</v>
      </c>
      <c r="F36" s="31">
        <f t="shared" si="0"/>
        <v>600</v>
      </c>
      <c r="G36" s="31">
        <f t="shared" si="1"/>
        <v>380</v>
      </c>
      <c r="H36" s="31">
        <f t="shared" si="2"/>
        <v>820</v>
      </c>
      <c r="I36" s="63">
        <v>1500</v>
      </c>
      <c r="J36" s="63">
        <v>950</v>
      </c>
      <c r="K36" s="61">
        <v>2050</v>
      </c>
      <c r="L36" s="61">
        <v>5000</v>
      </c>
      <c r="M36" s="31">
        <v>2000</v>
      </c>
      <c r="N36" s="31"/>
      <c r="O36" s="61" t="s">
        <v>42</v>
      </c>
      <c r="P36" s="13" t="s">
        <v>148</v>
      </c>
      <c r="Q36" s="54">
        <v>5.0419999999999998</v>
      </c>
      <c r="R36" s="14"/>
      <c r="S36" s="14"/>
      <c r="T36" s="9">
        <f t="shared" si="4"/>
        <v>448.36489981191744</v>
      </c>
      <c r="U36" s="56">
        <v>409.15892133576665</v>
      </c>
      <c r="V36" s="57">
        <v>487.57087828806823</v>
      </c>
      <c r="X36" s="13" t="s">
        <v>0</v>
      </c>
      <c r="Y36" s="79" t="s">
        <v>300</v>
      </c>
      <c r="Z36" s="14">
        <f>55.4+0.2</f>
        <v>55.6</v>
      </c>
      <c r="AA36" s="14">
        <f>Z36+0.1</f>
        <v>55.7</v>
      </c>
      <c r="AB36" s="14">
        <f>Z36-0.1</f>
        <v>55.5</v>
      </c>
      <c r="AC36" s="51">
        <v>479.40800000000002</v>
      </c>
      <c r="AD36" s="51">
        <v>337.23599999999999</v>
      </c>
      <c r="AE36" s="51">
        <v>745.27700000000004</v>
      </c>
      <c r="AF36" s="50" t="s">
        <v>376</v>
      </c>
      <c r="AG36" s="61" t="s">
        <v>42</v>
      </c>
      <c r="AH36" s="13" t="s">
        <v>438</v>
      </c>
      <c r="AI36" s="29">
        <v>2.7022249999999999</v>
      </c>
      <c r="AJ36" s="14"/>
      <c r="AK36" s="9"/>
      <c r="AL36" s="9">
        <v>357.5</v>
      </c>
      <c r="AM36" s="9">
        <v>292.20432513366603</v>
      </c>
      <c r="AN36" s="9">
        <v>434.28704317786952</v>
      </c>
      <c r="AO36" s="9"/>
      <c r="AQ36" s="79"/>
    </row>
    <row r="37" spans="1:43">
      <c r="A37" s="7" t="s">
        <v>51</v>
      </c>
      <c r="B37" s="72" t="s">
        <v>235</v>
      </c>
      <c r="C37" s="18">
        <f t="shared" si="10"/>
        <v>423.29999999999995</v>
      </c>
      <c r="D37" s="18">
        <v>427.4</v>
      </c>
      <c r="E37" s="18">
        <v>419.2</v>
      </c>
      <c r="F37" s="31">
        <f t="shared" si="0"/>
        <v>1680</v>
      </c>
      <c r="G37" s="31">
        <f t="shared" si="1"/>
        <v>1280</v>
      </c>
      <c r="H37" s="31">
        <f t="shared" si="2"/>
        <v>2080</v>
      </c>
      <c r="I37" s="63">
        <v>4200</v>
      </c>
      <c r="J37" s="63">
        <v>3200</v>
      </c>
      <c r="K37" s="61">
        <v>5200</v>
      </c>
      <c r="L37" s="61">
        <v>5000</v>
      </c>
      <c r="M37" s="31">
        <v>2000</v>
      </c>
      <c r="N37" s="31"/>
      <c r="O37" s="61" t="s">
        <v>42</v>
      </c>
      <c r="P37" s="13" t="s">
        <v>148</v>
      </c>
      <c r="Q37" s="55">
        <v>5.1909999999999998</v>
      </c>
      <c r="R37" s="14"/>
      <c r="S37" s="14"/>
      <c r="T37" s="9">
        <f t="shared" si="4"/>
        <v>457.38496004514207</v>
      </c>
      <c r="U37" s="58">
        <v>417.38341025396068</v>
      </c>
      <c r="V37" s="59">
        <v>497.38650983632346</v>
      </c>
      <c r="X37" s="13" t="s">
        <v>0</v>
      </c>
      <c r="Y37" s="79" t="s">
        <v>301</v>
      </c>
      <c r="Z37" s="14">
        <f>55.8+0.1</f>
        <v>55.9</v>
      </c>
      <c r="AA37" s="14">
        <f>Z37+3</f>
        <v>58.9</v>
      </c>
      <c r="AB37" s="14">
        <f>Z37-3</f>
        <v>52.9</v>
      </c>
      <c r="AC37" s="51">
        <v>666.99599999999998</v>
      </c>
      <c r="AD37" s="51">
        <v>392.52499999999998</v>
      </c>
      <c r="AE37" s="51">
        <v>802.49300000000005</v>
      </c>
      <c r="AF37" s="50" t="s">
        <v>376</v>
      </c>
      <c r="AG37" s="61" t="s">
        <v>42</v>
      </c>
      <c r="AH37" s="13" t="s">
        <v>438</v>
      </c>
      <c r="AI37" s="29">
        <v>2.7055100000000003</v>
      </c>
      <c r="AJ37" s="14"/>
      <c r="AK37" s="9"/>
      <c r="AL37" s="9">
        <v>314</v>
      </c>
      <c r="AM37" s="9">
        <v>255.10792837741229</v>
      </c>
      <c r="AN37" s="9">
        <v>382.75929028138671</v>
      </c>
      <c r="AO37" s="9"/>
      <c r="AQ37" s="79"/>
    </row>
    <row r="38" spans="1:43">
      <c r="A38" s="20" t="s">
        <v>37</v>
      </c>
      <c r="B38" s="73" t="s">
        <v>222</v>
      </c>
      <c r="C38" s="18">
        <v>5</v>
      </c>
      <c r="D38" s="18"/>
      <c r="E38" s="18"/>
      <c r="F38" s="31">
        <f t="shared" si="0"/>
        <v>324</v>
      </c>
      <c r="G38" s="31">
        <f t="shared" si="1"/>
        <v>164</v>
      </c>
      <c r="H38" s="31">
        <f t="shared" si="2"/>
        <v>484</v>
      </c>
      <c r="I38" s="61">
        <v>810</v>
      </c>
      <c r="J38" s="63">
        <v>410</v>
      </c>
      <c r="K38" s="61">
        <v>1210</v>
      </c>
      <c r="L38" s="61">
        <v>5000</v>
      </c>
      <c r="M38" s="31">
        <v>2000</v>
      </c>
      <c r="N38" s="50" t="s">
        <v>402</v>
      </c>
      <c r="O38" s="61" t="s">
        <v>42</v>
      </c>
      <c r="P38" s="13" t="s">
        <v>460</v>
      </c>
      <c r="Q38" s="101">
        <v>0.02</v>
      </c>
      <c r="S38" s="30"/>
      <c r="T38" s="53">
        <v>317.59394696610735</v>
      </c>
      <c r="U38" s="103">
        <v>283.05966476182073</v>
      </c>
      <c r="V38" s="103">
        <v>402.09613881695822</v>
      </c>
      <c r="W38" s="61" t="s">
        <v>174</v>
      </c>
      <c r="X38" s="13" t="s">
        <v>0</v>
      </c>
      <c r="Y38" s="79" t="s">
        <v>302</v>
      </c>
      <c r="Z38" s="14">
        <f>55.9+0.2</f>
        <v>56.1</v>
      </c>
      <c r="AA38" s="14">
        <f t="shared" ref="AA38:AA45" si="11">Z38+0.1</f>
        <v>56.2</v>
      </c>
      <c r="AB38" s="14">
        <f t="shared" ref="AB38:AB45" si="12">Z38-0.1</f>
        <v>56</v>
      </c>
      <c r="AC38" s="51">
        <v>307</v>
      </c>
      <c r="AD38" s="51">
        <v>293.79399999999998</v>
      </c>
      <c r="AE38" s="51">
        <v>330.32</v>
      </c>
      <c r="AF38" s="50" t="s">
        <v>376</v>
      </c>
      <c r="AG38" s="61" t="s">
        <v>42</v>
      </c>
      <c r="AH38" s="13" t="s">
        <v>438</v>
      </c>
      <c r="AI38" s="29">
        <v>2.7081120000000003</v>
      </c>
      <c r="AJ38" s="14"/>
      <c r="AK38" s="9"/>
      <c r="AL38" s="9">
        <v>238.3</v>
      </c>
      <c r="AM38" s="9">
        <v>190.02968738189071</v>
      </c>
      <c r="AN38" s="9">
        <v>293.57635660931356</v>
      </c>
      <c r="AO38" s="9"/>
      <c r="AQ38" s="79"/>
    </row>
    <row r="39" spans="1:43">
      <c r="A39" s="20" t="s">
        <v>37</v>
      </c>
      <c r="B39" s="73" t="s">
        <v>223</v>
      </c>
      <c r="C39" s="18">
        <v>21</v>
      </c>
      <c r="D39" s="18"/>
      <c r="E39" s="18"/>
      <c r="F39" s="31">
        <f t="shared" si="0"/>
        <v>312</v>
      </c>
      <c r="G39" s="31">
        <f t="shared" si="1"/>
        <v>152</v>
      </c>
      <c r="H39" s="31">
        <f t="shared" si="2"/>
        <v>472</v>
      </c>
      <c r="I39" s="63">
        <v>780</v>
      </c>
      <c r="J39" s="63">
        <v>380</v>
      </c>
      <c r="K39" s="61">
        <v>1180</v>
      </c>
      <c r="L39" s="61">
        <v>5000</v>
      </c>
      <c r="M39" s="31">
        <v>2000</v>
      </c>
      <c r="N39" s="31"/>
      <c r="O39" s="61" t="s">
        <v>42</v>
      </c>
      <c r="P39" s="13" t="s">
        <v>460</v>
      </c>
      <c r="Q39" s="101">
        <v>2.8000000000000001E-2</v>
      </c>
      <c r="S39" s="30"/>
      <c r="T39" s="53">
        <v>304.996541406419</v>
      </c>
      <c r="U39" s="103">
        <v>273.32410364832481</v>
      </c>
      <c r="V39" s="103">
        <v>384.08977532156422</v>
      </c>
      <c r="W39" s="61" t="s">
        <v>174</v>
      </c>
      <c r="X39" s="13" t="s">
        <v>0</v>
      </c>
      <c r="Y39" s="79" t="s">
        <v>303</v>
      </c>
      <c r="Z39" s="14">
        <f>55.9+0.2</f>
        <v>56.1</v>
      </c>
      <c r="AA39" s="14">
        <f t="shared" si="11"/>
        <v>56.2</v>
      </c>
      <c r="AB39" s="14">
        <f t="shared" si="12"/>
        <v>56</v>
      </c>
      <c r="AC39" s="51">
        <v>307</v>
      </c>
      <c r="AD39" s="51">
        <v>293.79399999999998</v>
      </c>
      <c r="AE39" s="51">
        <v>330.32</v>
      </c>
      <c r="AF39" s="50" t="s">
        <v>376</v>
      </c>
      <c r="AG39" s="61" t="s">
        <v>42</v>
      </c>
      <c r="AH39" s="13" t="s">
        <v>438</v>
      </c>
      <c r="AI39" s="29">
        <v>2.710464</v>
      </c>
      <c r="AJ39" s="14"/>
      <c r="AK39" s="9"/>
      <c r="AL39" s="9">
        <v>333.8</v>
      </c>
      <c r="AM39" s="9">
        <v>272.01427406754857</v>
      </c>
      <c r="AN39" s="9">
        <v>406.19404395390552</v>
      </c>
      <c r="AQ39" s="79"/>
    </row>
    <row r="40" spans="1:43">
      <c r="A40" s="20" t="s">
        <v>37</v>
      </c>
      <c r="B40" s="73" t="s">
        <v>224</v>
      </c>
      <c r="C40" s="14">
        <f>AVERAGE(D40:E40)</f>
        <v>25.55</v>
      </c>
      <c r="D40" s="18">
        <v>28.1</v>
      </c>
      <c r="E40" s="18">
        <v>23</v>
      </c>
      <c r="F40" s="31">
        <f t="shared" si="0"/>
        <v>588</v>
      </c>
      <c r="G40" s="31">
        <f t="shared" si="1"/>
        <v>308</v>
      </c>
      <c r="H40" s="31">
        <f t="shared" si="2"/>
        <v>880</v>
      </c>
      <c r="I40" s="63">
        <v>1470</v>
      </c>
      <c r="J40" s="63">
        <v>770</v>
      </c>
      <c r="K40" s="61">
        <v>2200</v>
      </c>
      <c r="L40" s="61">
        <v>5000</v>
      </c>
      <c r="M40" s="31">
        <v>2000</v>
      </c>
      <c r="N40" s="31"/>
      <c r="O40" s="61" t="s">
        <v>42</v>
      </c>
      <c r="P40" s="13" t="s">
        <v>460</v>
      </c>
      <c r="Q40" s="101">
        <v>3.3500000000000002E-2</v>
      </c>
      <c r="S40" s="30"/>
      <c r="T40" s="53">
        <v>321.81926363116537</v>
      </c>
      <c r="U40" s="103">
        <v>284.1039156607481</v>
      </c>
      <c r="V40" s="103">
        <v>411.23054988961229</v>
      </c>
      <c r="W40" s="61" t="s">
        <v>174</v>
      </c>
      <c r="X40" s="13" t="s">
        <v>0</v>
      </c>
      <c r="Y40" s="79" t="s">
        <v>304</v>
      </c>
      <c r="Z40" s="14">
        <f>55.941+0.2</f>
        <v>56.141000000000005</v>
      </c>
      <c r="AA40" s="14">
        <f t="shared" si="11"/>
        <v>56.241000000000007</v>
      </c>
      <c r="AB40" s="14">
        <f t="shared" si="12"/>
        <v>56.041000000000004</v>
      </c>
      <c r="AC40" s="51">
        <v>307</v>
      </c>
      <c r="AD40" s="51">
        <v>293.79399999999998</v>
      </c>
      <c r="AE40" s="51">
        <v>330.32</v>
      </c>
      <c r="AF40" s="50" t="s">
        <v>376</v>
      </c>
      <c r="AG40" s="61" t="s">
        <v>42</v>
      </c>
      <c r="AH40" s="13" t="s">
        <v>438</v>
      </c>
      <c r="AI40" s="29">
        <v>2.7515639999999997</v>
      </c>
      <c r="AJ40" s="14"/>
      <c r="AK40" s="9"/>
      <c r="AL40" s="9">
        <v>299.7</v>
      </c>
      <c r="AM40" s="9">
        <v>242.8726126744331</v>
      </c>
      <c r="AN40" s="9">
        <v>365.85741530622249</v>
      </c>
      <c r="AQ40" s="79"/>
    </row>
    <row r="41" spans="1:43">
      <c r="A41" s="20" t="s">
        <v>37</v>
      </c>
      <c r="B41" s="73" t="s">
        <v>225</v>
      </c>
      <c r="C41" s="18">
        <v>45</v>
      </c>
      <c r="D41" s="18"/>
      <c r="E41" s="18"/>
      <c r="F41" s="31">
        <f t="shared" si="0"/>
        <v>780</v>
      </c>
      <c r="G41" s="31">
        <f t="shared" si="1"/>
        <v>640</v>
      </c>
      <c r="H41" s="31">
        <f t="shared" si="2"/>
        <v>880</v>
      </c>
      <c r="I41" s="63">
        <v>1950</v>
      </c>
      <c r="J41" s="63">
        <v>1600</v>
      </c>
      <c r="K41" s="61">
        <v>2200</v>
      </c>
      <c r="L41" s="61">
        <v>5000</v>
      </c>
      <c r="M41" s="31">
        <v>2000</v>
      </c>
      <c r="N41" s="31"/>
      <c r="O41" s="61" t="s">
        <v>42</v>
      </c>
      <c r="P41" s="13" t="s">
        <v>460</v>
      </c>
      <c r="Q41" s="101">
        <v>4.1200000000000001E-2</v>
      </c>
      <c r="S41" s="30"/>
      <c r="T41" s="53">
        <v>308.28200097545829</v>
      </c>
      <c r="U41" s="103">
        <v>268.08585506245691</v>
      </c>
      <c r="V41" s="103">
        <v>399.66580000263116</v>
      </c>
      <c r="W41" s="61" t="s">
        <v>174</v>
      </c>
      <c r="X41" s="13" t="s">
        <v>0</v>
      </c>
      <c r="Y41" s="79" t="s">
        <v>305</v>
      </c>
      <c r="Z41" s="14">
        <f>55.943+0.2</f>
        <v>56.143000000000001</v>
      </c>
      <c r="AA41" s="14">
        <f t="shared" si="11"/>
        <v>56.243000000000002</v>
      </c>
      <c r="AB41" s="14">
        <f t="shared" si="12"/>
        <v>56.042999999999999</v>
      </c>
      <c r="AC41" s="51">
        <v>519.88699999999994</v>
      </c>
      <c r="AD41" s="51">
        <v>348.096</v>
      </c>
      <c r="AE41" s="51">
        <v>774.89599999999996</v>
      </c>
      <c r="AF41" s="50" t="s">
        <v>376</v>
      </c>
      <c r="AG41" s="61" t="s">
        <v>42</v>
      </c>
      <c r="AH41" s="13" t="s">
        <v>438</v>
      </c>
      <c r="AI41" s="29">
        <v>2.7728600000000001</v>
      </c>
      <c r="AJ41" s="14"/>
      <c r="AK41" s="9"/>
      <c r="AL41" s="9">
        <v>403.5</v>
      </c>
      <c r="AM41" s="9">
        <v>331.27421854870659</v>
      </c>
      <c r="AN41" s="9">
        <v>488.91949426214137</v>
      </c>
      <c r="AQ41" s="79"/>
    </row>
    <row r="42" spans="1:43">
      <c r="A42" s="20" t="s">
        <v>37</v>
      </c>
      <c r="B42" s="73" t="s">
        <v>226</v>
      </c>
      <c r="C42" s="18">
        <f t="shared" ref="C42:C71" si="13">AVERAGE(D42:E42)</f>
        <v>60.730000000000004</v>
      </c>
      <c r="D42" s="18">
        <v>62.22</v>
      </c>
      <c r="E42" s="18">
        <f>D42-2.98</f>
        <v>59.24</v>
      </c>
      <c r="F42" s="31">
        <f t="shared" si="0"/>
        <v>0</v>
      </c>
      <c r="G42" s="31">
        <f t="shared" si="1"/>
        <v>0</v>
      </c>
      <c r="H42" s="31">
        <f t="shared" si="2"/>
        <v>84</v>
      </c>
      <c r="I42" s="63">
        <v>0</v>
      </c>
      <c r="J42" s="63">
        <v>0</v>
      </c>
      <c r="K42" s="61">
        <v>210</v>
      </c>
      <c r="L42" s="61">
        <v>5000</v>
      </c>
      <c r="M42" s="31">
        <v>2000</v>
      </c>
      <c r="N42" s="31"/>
      <c r="O42" s="61" t="s">
        <v>42</v>
      </c>
      <c r="P42" s="13" t="s">
        <v>460</v>
      </c>
      <c r="Q42" s="101">
        <v>5.8299999999999998E-2</v>
      </c>
      <c r="S42" s="30"/>
      <c r="T42" s="53">
        <v>311.64047727025888</v>
      </c>
      <c r="U42" s="103">
        <v>279.07557905771182</v>
      </c>
      <c r="V42" s="103">
        <v>392.73956923999378</v>
      </c>
      <c r="W42" s="61" t="s">
        <v>174</v>
      </c>
      <c r="X42" s="13" t="s">
        <v>0</v>
      </c>
      <c r="Y42" s="79" t="s">
        <v>306</v>
      </c>
      <c r="Z42" s="14">
        <f>55.963+0.2</f>
        <v>56.163000000000004</v>
      </c>
      <c r="AA42" s="14">
        <f t="shared" si="11"/>
        <v>56.263000000000005</v>
      </c>
      <c r="AB42" s="14">
        <f t="shared" si="12"/>
        <v>56.063000000000002</v>
      </c>
      <c r="AC42" s="51">
        <v>303.66699999999997</v>
      </c>
      <c r="AD42" s="51">
        <v>294.78100000000001</v>
      </c>
      <c r="AE42" s="51">
        <v>315.46899999999999</v>
      </c>
      <c r="AF42" s="50" t="s">
        <v>376</v>
      </c>
      <c r="AG42" s="61" t="s">
        <v>42</v>
      </c>
      <c r="AH42" s="13" t="s">
        <v>438</v>
      </c>
      <c r="AI42" s="29">
        <v>2.778718</v>
      </c>
      <c r="AJ42" s="14"/>
      <c r="AK42" s="9"/>
      <c r="AL42" s="9">
        <v>418.3</v>
      </c>
      <c r="AM42" s="9">
        <v>343.81717392411861</v>
      </c>
      <c r="AN42" s="9">
        <v>506.52128768046862</v>
      </c>
      <c r="AQ42" s="79"/>
    </row>
    <row r="43" spans="1:43">
      <c r="A43" s="20" t="s">
        <v>37</v>
      </c>
      <c r="B43" s="73" t="s">
        <v>206</v>
      </c>
      <c r="C43" s="18">
        <f t="shared" si="13"/>
        <v>69.05</v>
      </c>
      <c r="D43" s="18">
        <v>72.099999999999994</v>
      </c>
      <c r="E43" s="18">
        <v>66</v>
      </c>
      <c r="F43" s="31">
        <f t="shared" si="0"/>
        <v>328</v>
      </c>
      <c r="G43" s="31">
        <f t="shared" si="1"/>
        <v>208</v>
      </c>
      <c r="H43" s="31">
        <f t="shared" si="2"/>
        <v>448</v>
      </c>
      <c r="I43" s="63">
        <v>820</v>
      </c>
      <c r="J43" s="63">
        <v>520</v>
      </c>
      <c r="K43" s="61">
        <v>1120</v>
      </c>
      <c r="L43" s="61">
        <v>5000</v>
      </c>
      <c r="M43" s="31">
        <v>2000</v>
      </c>
      <c r="N43" s="31"/>
      <c r="O43" s="61" t="s">
        <v>42</v>
      </c>
      <c r="P43" s="13" t="s">
        <v>460</v>
      </c>
      <c r="Q43" s="101">
        <v>7.3599999999999999E-2</v>
      </c>
      <c r="S43" s="30"/>
      <c r="T43" s="53">
        <v>337.52977709870305</v>
      </c>
      <c r="U43" s="103">
        <v>304.39846591641327</v>
      </c>
      <c r="V43" s="103">
        <v>422.4602397383436</v>
      </c>
      <c r="W43" s="61" t="s">
        <v>174</v>
      </c>
      <c r="X43" s="13" t="s">
        <v>0</v>
      </c>
      <c r="Y43" s="79" t="s">
        <v>307</v>
      </c>
      <c r="Z43" s="14">
        <f>56.2+0.2</f>
        <v>56.400000000000006</v>
      </c>
      <c r="AA43" s="14">
        <f t="shared" si="11"/>
        <v>56.500000000000007</v>
      </c>
      <c r="AB43" s="14">
        <f t="shared" si="12"/>
        <v>56.300000000000004</v>
      </c>
      <c r="AC43" s="51">
        <v>312.553</v>
      </c>
      <c r="AD43" s="51">
        <v>300.70499999999998</v>
      </c>
      <c r="AE43" s="51">
        <v>325.34199999999998</v>
      </c>
      <c r="AF43" s="50" t="s">
        <v>376</v>
      </c>
      <c r="AG43" s="61" t="s">
        <v>42</v>
      </c>
      <c r="AH43" s="13" t="s">
        <v>438</v>
      </c>
      <c r="AI43" s="29">
        <v>2.7814140000000003</v>
      </c>
      <c r="AJ43" s="14"/>
      <c r="AK43" s="9"/>
      <c r="AL43" s="9">
        <v>315.8</v>
      </c>
      <c r="AM43" s="9">
        <v>256.64647559950464</v>
      </c>
      <c r="AN43" s="9">
        <v>384.88824502040848</v>
      </c>
      <c r="AQ43" s="79"/>
    </row>
    <row r="44" spans="1:43">
      <c r="A44" s="20" t="s">
        <v>37</v>
      </c>
      <c r="B44" s="73" t="s">
        <v>206</v>
      </c>
      <c r="C44" s="18">
        <f t="shared" si="13"/>
        <v>69.05</v>
      </c>
      <c r="D44" s="18">
        <v>72.099999999999994</v>
      </c>
      <c r="E44" s="18">
        <v>66</v>
      </c>
      <c r="F44" s="31">
        <f t="shared" si="0"/>
        <v>172</v>
      </c>
      <c r="G44" s="31">
        <f t="shared" si="1"/>
        <v>52</v>
      </c>
      <c r="H44" s="31">
        <f t="shared" si="2"/>
        <v>292</v>
      </c>
      <c r="I44" s="63">
        <v>430</v>
      </c>
      <c r="J44" s="63">
        <v>130</v>
      </c>
      <c r="K44" s="61">
        <v>730</v>
      </c>
      <c r="L44" s="61">
        <v>5000</v>
      </c>
      <c r="M44" s="31">
        <v>2000</v>
      </c>
      <c r="N44" s="31"/>
      <c r="O44" s="61" t="s">
        <v>42</v>
      </c>
      <c r="P44" s="13" t="s">
        <v>460</v>
      </c>
      <c r="Q44" s="101">
        <v>8.929999999999999E-2</v>
      </c>
      <c r="S44" s="30"/>
      <c r="T44" s="53">
        <v>334.15629413450375</v>
      </c>
      <c r="U44" s="103">
        <v>293.43851925768752</v>
      </c>
      <c r="V44" s="103">
        <v>429.19359328999536</v>
      </c>
      <c r="W44" s="61" t="s">
        <v>174</v>
      </c>
      <c r="X44" s="13" t="s">
        <v>0</v>
      </c>
      <c r="Y44" s="79" t="s">
        <v>308</v>
      </c>
      <c r="Z44" s="14">
        <f>56.264+0.2</f>
        <v>56.464000000000006</v>
      </c>
      <c r="AA44" s="14">
        <f t="shared" si="11"/>
        <v>56.564000000000007</v>
      </c>
      <c r="AB44" s="14">
        <f t="shared" si="12"/>
        <v>56.364000000000004</v>
      </c>
      <c r="AC44" s="51">
        <v>315.51499999999999</v>
      </c>
      <c r="AD44" s="51">
        <v>300.70499999999998</v>
      </c>
      <c r="AE44" s="51">
        <v>331.26600000000002</v>
      </c>
      <c r="AF44" s="50" t="s">
        <v>376</v>
      </c>
      <c r="AG44" s="61" t="s">
        <v>42</v>
      </c>
      <c r="AH44" s="13" t="s">
        <v>438</v>
      </c>
      <c r="AI44" s="29">
        <v>2.7954850000000002</v>
      </c>
      <c r="AJ44" s="14"/>
      <c r="AK44" s="9"/>
      <c r="AL44" s="9">
        <v>314.39999999999998</v>
      </c>
      <c r="AM44" s="9">
        <v>255.44985686192101</v>
      </c>
      <c r="AN44" s="9">
        <v>383.23236448067144</v>
      </c>
      <c r="AQ44" s="79"/>
    </row>
    <row r="45" spans="1:43">
      <c r="A45" s="20" t="s">
        <v>37</v>
      </c>
      <c r="B45" s="73" t="s">
        <v>206</v>
      </c>
      <c r="C45" s="18">
        <f t="shared" si="13"/>
        <v>69.05</v>
      </c>
      <c r="D45" s="18">
        <v>72.099999999999994</v>
      </c>
      <c r="E45" s="18">
        <v>66</v>
      </c>
      <c r="F45" s="31">
        <f t="shared" si="0"/>
        <v>252</v>
      </c>
      <c r="G45" s="31">
        <f t="shared" si="1"/>
        <v>132</v>
      </c>
      <c r="H45" s="31">
        <f t="shared" si="2"/>
        <v>372</v>
      </c>
      <c r="I45" s="63">
        <v>630</v>
      </c>
      <c r="J45" s="63">
        <v>330</v>
      </c>
      <c r="K45" s="61">
        <v>930</v>
      </c>
      <c r="L45" s="61">
        <v>5000</v>
      </c>
      <c r="M45" s="31">
        <v>2000</v>
      </c>
      <c r="N45" s="31"/>
      <c r="O45" s="61" t="s">
        <v>42</v>
      </c>
      <c r="P45" s="13" t="s">
        <v>460</v>
      </c>
      <c r="Q45" s="101">
        <v>0.10540000000000001</v>
      </c>
      <c r="S45" s="30"/>
      <c r="T45" s="53">
        <v>332.05906800770634</v>
      </c>
      <c r="U45" s="103">
        <v>290.11531581270657</v>
      </c>
      <c r="V45" s="103">
        <v>428.58933266712529</v>
      </c>
      <c r="W45" s="61" t="s">
        <v>174</v>
      </c>
      <c r="X45" s="13" t="s">
        <v>0</v>
      </c>
      <c r="Y45" s="79" t="s">
        <v>309</v>
      </c>
      <c r="Z45" s="14">
        <f>56.407+0.2</f>
        <v>56.606999999999999</v>
      </c>
      <c r="AA45" s="14">
        <f t="shared" si="11"/>
        <v>56.707000000000001</v>
      </c>
      <c r="AB45" s="14">
        <f t="shared" si="12"/>
        <v>56.506999999999998</v>
      </c>
      <c r="AC45" s="51">
        <v>320.45100000000002</v>
      </c>
      <c r="AD45" s="51">
        <v>304.654</v>
      </c>
      <c r="AE45" s="51">
        <v>345.077</v>
      </c>
      <c r="AF45" s="50" t="s">
        <v>376</v>
      </c>
      <c r="AG45" s="61" t="s">
        <v>42</v>
      </c>
      <c r="AH45" s="13" t="s">
        <v>438</v>
      </c>
      <c r="AI45" s="29">
        <v>2.918768</v>
      </c>
      <c r="AJ45" s="14"/>
      <c r="AK45" s="9"/>
      <c r="AL45" s="9">
        <v>241.1</v>
      </c>
      <c r="AM45" s="9">
        <v>192.45261834127143</v>
      </c>
      <c r="AN45" s="9">
        <v>296.85991750352576</v>
      </c>
      <c r="AQ45" s="79"/>
    </row>
    <row r="46" spans="1:43">
      <c r="A46" s="20" t="s">
        <v>37</v>
      </c>
      <c r="B46" s="73" t="s">
        <v>207</v>
      </c>
      <c r="C46" s="18">
        <f t="shared" si="13"/>
        <v>77.849999999999994</v>
      </c>
      <c r="D46" s="18">
        <v>83.6</v>
      </c>
      <c r="E46" s="18">
        <v>72.099999999999994</v>
      </c>
      <c r="F46" s="31">
        <f t="shared" si="0"/>
        <v>1180</v>
      </c>
      <c r="G46" s="31">
        <f t="shared" si="1"/>
        <v>936</v>
      </c>
      <c r="H46" s="31">
        <f t="shared" si="2"/>
        <v>1416</v>
      </c>
      <c r="I46" s="63">
        <v>2950</v>
      </c>
      <c r="J46" s="63">
        <v>2340</v>
      </c>
      <c r="K46" s="61">
        <v>3540</v>
      </c>
      <c r="L46" s="61">
        <v>5000</v>
      </c>
      <c r="M46" s="31">
        <v>2000</v>
      </c>
      <c r="N46" s="31"/>
      <c r="O46" s="61" t="s">
        <v>42</v>
      </c>
      <c r="P46" s="13" t="s">
        <v>460</v>
      </c>
      <c r="Q46" s="101">
        <v>0.11320000000000001</v>
      </c>
      <c r="S46" s="30"/>
      <c r="T46" s="53">
        <v>336.32670004271722</v>
      </c>
      <c r="U46" s="103">
        <v>292.94808392574708</v>
      </c>
      <c r="V46" s="103">
        <v>435.37960408829844</v>
      </c>
      <c r="W46" s="61" t="s">
        <v>174</v>
      </c>
      <c r="X46" s="13" t="s">
        <v>0</v>
      </c>
      <c r="Y46" s="79" t="s">
        <v>310</v>
      </c>
      <c r="Z46" s="14">
        <f>56.543+0.2</f>
        <v>56.743000000000002</v>
      </c>
      <c r="AA46" s="14">
        <f>Z46+0.2</f>
        <v>56.943000000000005</v>
      </c>
      <c r="AB46" s="14">
        <f>Z46-0.2</f>
        <v>56.542999999999999</v>
      </c>
      <c r="AC46" s="51">
        <v>314.52800000000002</v>
      </c>
      <c r="AD46" s="51">
        <v>301.69299999999998</v>
      </c>
      <c r="AE46" s="51">
        <v>328.32499999999999</v>
      </c>
      <c r="AF46" s="50" t="s">
        <v>376</v>
      </c>
      <c r="AG46" s="61" t="s">
        <v>42</v>
      </c>
      <c r="AH46" s="13" t="s">
        <v>438</v>
      </c>
      <c r="AI46" s="29">
        <v>3.000572</v>
      </c>
      <c r="AJ46" s="14"/>
      <c r="AK46" s="9"/>
      <c r="AL46" s="9">
        <v>353.8</v>
      </c>
      <c r="AM46" s="9">
        <v>289.05531582438601</v>
      </c>
      <c r="AN46" s="9">
        <v>429.89847304644161</v>
      </c>
      <c r="AQ46" s="79"/>
    </row>
    <row r="47" spans="1:43">
      <c r="A47" s="20" t="s">
        <v>37</v>
      </c>
      <c r="B47" s="73" t="s">
        <v>207</v>
      </c>
      <c r="C47" s="18">
        <f t="shared" si="13"/>
        <v>77.849999999999994</v>
      </c>
      <c r="D47" s="18">
        <v>83.6</v>
      </c>
      <c r="E47" s="18">
        <v>72.099999999999994</v>
      </c>
      <c r="F47" s="31">
        <f t="shared" si="0"/>
        <v>504</v>
      </c>
      <c r="G47" s="31">
        <f t="shared" si="1"/>
        <v>264</v>
      </c>
      <c r="H47" s="31">
        <f t="shared" si="2"/>
        <v>744</v>
      </c>
      <c r="I47" s="63">
        <v>1260</v>
      </c>
      <c r="J47" s="63">
        <v>660</v>
      </c>
      <c r="K47" s="61">
        <v>1860</v>
      </c>
      <c r="L47" s="61">
        <v>5000</v>
      </c>
      <c r="M47" s="31">
        <v>2000</v>
      </c>
      <c r="N47" s="31"/>
      <c r="O47" s="61" t="s">
        <v>42</v>
      </c>
      <c r="P47" s="13" t="s">
        <v>460</v>
      </c>
      <c r="Q47" s="101">
        <v>0.1336</v>
      </c>
      <c r="S47" s="30"/>
      <c r="T47" s="53">
        <v>335.90848404323509</v>
      </c>
      <c r="U47" s="103">
        <v>304.87714701049975</v>
      </c>
      <c r="V47" s="103">
        <v>417.80271414896367</v>
      </c>
      <c r="W47" s="61" t="s">
        <v>174</v>
      </c>
      <c r="X47" s="13" t="s">
        <v>0</v>
      </c>
      <c r="Y47" s="79" t="s">
        <v>311</v>
      </c>
      <c r="Z47" s="14">
        <f>56.543+0.2</f>
        <v>56.743000000000002</v>
      </c>
      <c r="AA47" s="14">
        <f>Z47+0.2</f>
        <v>56.943000000000005</v>
      </c>
      <c r="AB47" s="14">
        <f>Z47-0.2</f>
        <v>56.542999999999999</v>
      </c>
      <c r="AC47" s="51">
        <v>318.47699999999998</v>
      </c>
      <c r="AD47" s="51">
        <v>301.69299999999998</v>
      </c>
      <c r="AE47" s="51">
        <v>334.27</v>
      </c>
      <c r="AF47" s="50" t="s">
        <v>376</v>
      </c>
      <c r="AG47" s="61" t="s">
        <v>42</v>
      </c>
      <c r="AH47" s="13" t="s">
        <v>438</v>
      </c>
      <c r="AI47" s="29">
        <v>3.0739160000000001</v>
      </c>
      <c r="AJ47" s="29"/>
      <c r="AK47" s="9"/>
      <c r="AL47" s="9">
        <v>264.5</v>
      </c>
      <c r="AM47" s="9">
        <v>212.64763451635017</v>
      </c>
      <c r="AN47" s="9">
        <v>324.35323717226998</v>
      </c>
      <c r="AQ47" s="79"/>
    </row>
    <row r="48" spans="1:43">
      <c r="A48" s="20" t="s">
        <v>37</v>
      </c>
      <c r="B48" s="73" t="s">
        <v>208</v>
      </c>
      <c r="C48" s="18">
        <f t="shared" si="13"/>
        <v>119.65</v>
      </c>
      <c r="D48" s="14">
        <v>126.3</v>
      </c>
      <c r="E48" s="18">
        <v>113</v>
      </c>
      <c r="F48" s="31">
        <f t="shared" si="0"/>
        <v>904</v>
      </c>
      <c r="G48" s="31">
        <f t="shared" si="1"/>
        <v>540</v>
      </c>
      <c r="H48" s="31">
        <f t="shared" si="2"/>
        <v>1320</v>
      </c>
      <c r="I48" s="63">
        <v>2260</v>
      </c>
      <c r="J48" s="63">
        <v>1350</v>
      </c>
      <c r="K48" s="61">
        <v>3300</v>
      </c>
      <c r="L48" s="61">
        <v>5000</v>
      </c>
      <c r="M48" s="31">
        <v>2000</v>
      </c>
      <c r="N48" s="31"/>
      <c r="O48" s="61" t="s">
        <v>42</v>
      </c>
      <c r="P48" s="13" t="s">
        <v>460</v>
      </c>
      <c r="Q48" s="101">
        <v>0.14649999999999999</v>
      </c>
      <c r="S48" s="30"/>
      <c r="T48" s="53">
        <v>314.66219189508769</v>
      </c>
      <c r="U48" s="103">
        <v>277.29863188221452</v>
      </c>
      <c r="V48" s="103">
        <v>402.75116729039405</v>
      </c>
      <c r="W48" s="61" t="s">
        <v>174</v>
      </c>
      <c r="X48" s="13" t="s">
        <v>0</v>
      </c>
      <c r="Y48" s="79" t="s">
        <v>312</v>
      </c>
      <c r="Z48" s="14">
        <f>56.543+0.2</f>
        <v>56.743000000000002</v>
      </c>
      <c r="AA48" s="14">
        <f>Z48+0.2</f>
        <v>56.943000000000005</v>
      </c>
      <c r="AB48" s="14">
        <f>Z48-0.2</f>
        <v>56.542999999999999</v>
      </c>
      <c r="AC48" s="51">
        <v>318.47699999999998</v>
      </c>
      <c r="AD48" s="51">
        <v>301.69299999999998</v>
      </c>
      <c r="AE48" s="51">
        <v>334.27</v>
      </c>
      <c r="AF48" s="50" t="s">
        <v>376</v>
      </c>
      <c r="AG48" s="61" t="s">
        <v>42</v>
      </c>
      <c r="AH48" s="13" t="s">
        <v>438</v>
      </c>
      <c r="AI48" s="29">
        <v>3.081375</v>
      </c>
      <c r="AJ48" s="29"/>
      <c r="AK48" s="9"/>
      <c r="AL48" s="9">
        <v>410.6</v>
      </c>
      <c r="AM48" s="9">
        <v>337.29292666461168</v>
      </c>
      <c r="AN48" s="9">
        <v>497.36228673796006</v>
      </c>
      <c r="AQ48" s="79"/>
    </row>
    <row r="49" spans="1:43">
      <c r="A49" s="20" t="s">
        <v>37</v>
      </c>
      <c r="B49" s="73" t="s">
        <v>208</v>
      </c>
      <c r="C49" s="18">
        <f t="shared" si="13"/>
        <v>119.65</v>
      </c>
      <c r="D49" s="14">
        <v>126.3</v>
      </c>
      <c r="E49" s="18">
        <v>113</v>
      </c>
      <c r="F49" s="31">
        <f t="shared" si="0"/>
        <v>1084</v>
      </c>
      <c r="G49" s="31">
        <f t="shared" si="1"/>
        <v>540</v>
      </c>
      <c r="H49" s="31">
        <f t="shared" si="2"/>
        <v>1320</v>
      </c>
      <c r="I49" s="63">
        <v>2710</v>
      </c>
      <c r="J49" s="63">
        <v>1350</v>
      </c>
      <c r="K49" s="61">
        <v>3300</v>
      </c>
      <c r="L49" s="61">
        <v>5000</v>
      </c>
      <c r="M49" s="31">
        <v>2000</v>
      </c>
      <c r="N49" s="31"/>
      <c r="O49" s="61" t="s">
        <v>42</v>
      </c>
      <c r="P49" s="13" t="s">
        <v>460</v>
      </c>
      <c r="Q49" s="101">
        <v>0.15619999999999998</v>
      </c>
      <c r="S49" s="30"/>
      <c r="T49" s="53">
        <v>316.3374694874372</v>
      </c>
      <c r="U49" s="103">
        <v>286.01757008985061</v>
      </c>
      <c r="V49" s="103">
        <v>394.93549495093646</v>
      </c>
      <c r="W49" s="61" t="s">
        <v>174</v>
      </c>
      <c r="X49" s="13" t="s">
        <v>0</v>
      </c>
      <c r="Y49" s="79" t="s">
        <v>313</v>
      </c>
      <c r="Z49" s="14">
        <f>56.954+0.2</f>
        <v>57.154000000000003</v>
      </c>
      <c r="AA49" s="14">
        <f>Z49+0.2</f>
        <v>57.354000000000006</v>
      </c>
      <c r="AB49" s="14">
        <f>Z49-0.2</f>
        <v>56.954000000000001</v>
      </c>
      <c r="AC49" s="51">
        <v>468.54700000000003</v>
      </c>
      <c r="AD49" s="51">
        <v>340.197</v>
      </c>
      <c r="AE49" s="51">
        <v>738.50699999999995</v>
      </c>
      <c r="AF49" s="50" t="s">
        <v>376</v>
      </c>
      <c r="AG49" s="61" t="s">
        <v>42</v>
      </c>
      <c r="AH49" s="13" t="s">
        <v>438</v>
      </c>
      <c r="AI49" s="29">
        <v>3.1049099999999998</v>
      </c>
      <c r="AJ49" s="29"/>
      <c r="AK49" s="9"/>
      <c r="AL49" s="9">
        <v>248.9</v>
      </c>
      <c r="AM49" s="9">
        <v>199.19465127121629</v>
      </c>
      <c r="AN49" s="9">
        <v>306.01434495816267</v>
      </c>
      <c r="AQ49" s="79"/>
    </row>
    <row r="50" spans="1:43">
      <c r="A50" s="20" t="s">
        <v>37</v>
      </c>
      <c r="B50" s="73" t="s">
        <v>208</v>
      </c>
      <c r="C50" s="18">
        <f t="shared" si="13"/>
        <v>119.65</v>
      </c>
      <c r="D50" s="14">
        <v>126.3</v>
      </c>
      <c r="E50" s="18">
        <v>113</v>
      </c>
      <c r="F50" s="31">
        <f t="shared" si="0"/>
        <v>1076</v>
      </c>
      <c r="G50" s="31">
        <f t="shared" si="1"/>
        <v>540</v>
      </c>
      <c r="H50" s="31">
        <f t="shared" si="2"/>
        <v>1320</v>
      </c>
      <c r="I50" s="63">
        <v>2690</v>
      </c>
      <c r="J50" s="63">
        <v>1350</v>
      </c>
      <c r="K50" s="61">
        <v>3300</v>
      </c>
      <c r="L50" s="61">
        <v>5000</v>
      </c>
      <c r="M50" s="31">
        <v>2000</v>
      </c>
      <c r="N50" s="31"/>
      <c r="O50" s="61" t="s">
        <v>42</v>
      </c>
      <c r="P50" s="13" t="s">
        <v>460</v>
      </c>
      <c r="Q50" s="101">
        <v>0.1666</v>
      </c>
      <c r="S50" s="30"/>
      <c r="T50" s="53">
        <v>330.01129679024439</v>
      </c>
      <c r="U50" s="103">
        <v>286.45653833419306</v>
      </c>
      <c r="V50" s="103">
        <v>428.62350139717717</v>
      </c>
      <c r="W50" s="61" t="s">
        <v>174</v>
      </c>
      <c r="X50" s="13" t="s">
        <v>0</v>
      </c>
      <c r="Y50" s="79" t="s">
        <v>314</v>
      </c>
      <c r="Z50" s="14">
        <f>57.936+0.2</f>
        <v>58.136000000000003</v>
      </c>
      <c r="AA50" s="14">
        <f>Z50+0.3</f>
        <v>58.436</v>
      </c>
      <c r="AB50" s="14">
        <f>Z50-0.3</f>
        <v>57.836000000000006</v>
      </c>
      <c r="AC50" s="51">
        <v>446.827</v>
      </c>
      <c r="AD50" s="51">
        <v>333.286</v>
      </c>
      <c r="AE50" s="51">
        <v>740.55100000000004</v>
      </c>
      <c r="AF50" s="50" t="s">
        <v>376</v>
      </c>
      <c r="AG50" s="61" t="s">
        <v>42</v>
      </c>
      <c r="AH50" s="13" t="s">
        <v>438</v>
      </c>
      <c r="AI50" s="29">
        <v>3.1559219999999999</v>
      </c>
      <c r="AJ50" s="29"/>
      <c r="AK50" s="9"/>
      <c r="AL50" s="9">
        <v>232.7</v>
      </c>
      <c r="AM50" s="9">
        <v>185.1793263910327</v>
      </c>
      <c r="AN50" s="9">
        <v>287.01364101218036</v>
      </c>
      <c r="AQ50" s="79"/>
    </row>
    <row r="51" spans="1:43">
      <c r="A51" s="20" t="s">
        <v>37</v>
      </c>
      <c r="B51" s="73" t="s">
        <v>208</v>
      </c>
      <c r="C51" s="18">
        <f t="shared" si="13"/>
        <v>119.65</v>
      </c>
      <c r="D51" s="14">
        <v>126.3</v>
      </c>
      <c r="E51" s="18">
        <v>113</v>
      </c>
      <c r="F51" s="31">
        <f t="shared" si="0"/>
        <v>592</v>
      </c>
      <c r="G51" s="31">
        <f t="shared" si="1"/>
        <v>480</v>
      </c>
      <c r="H51" s="31">
        <f t="shared" si="2"/>
        <v>720</v>
      </c>
      <c r="I51" s="63">
        <v>1480</v>
      </c>
      <c r="J51" s="63">
        <v>1200</v>
      </c>
      <c r="K51" s="61">
        <v>1800</v>
      </c>
      <c r="L51" s="61">
        <v>5000</v>
      </c>
      <c r="M51" s="31">
        <v>2000</v>
      </c>
      <c r="N51" s="31"/>
      <c r="O51" s="61" t="s">
        <v>42</v>
      </c>
      <c r="P51" s="13" t="s">
        <v>460</v>
      </c>
      <c r="Q51" s="101">
        <v>0.31</v>
      </c>
      <c r="R51" s="2"/>
      <c r="S51" s="86"/>
      <c r="T51" s="53">
        <v>319.08169492089058</v>
      </c>
      <c r="U51" s="103">
        <v>274.69199464763869</v>
      </c>
      <c r="V51" s="103">
        <v>417.66613627371112</v>
      </c>
      <c r="W51" s="61" t="s">
        <v>174</v>
      </c>
      <c r="X51" s="13" t="s">
        <v>0</v>
      </c>
      <c r="Y51" s="79" t="s">
        <v>315</v>
      </c>
      <c r="Z51" s="14">
        <f t="shared" ref="Z51:Z78" si="14">AVERAGE(AA51:AB51)</f>
        <v>59.875</v>
      </c>
      <c r="AA51" s="14">
        <v>60.75</v>
      </c>
      <c r="AB51" s="14">
        <v>59</v>
      </c>
      <c r="AC51" s="51">
        <v>534.697</v>
      </c>
      <c r="AD51" s="51">
        <v>364.88</v>
      </c>
      <c r="AE51" s="51">
        <v>777.13</v>
      </c>
      <c r="AF51" s="50" t="s">
        <v>376</v>
      </c>
      <c r="AG51" s="61" t="s">
        <v>42</v>
      </c>
      <c r="AH51" s="13" t="s">
        <v>438</v>
      </c>
      <c r="AI51" s="29">
        <v>3.2185700000000002</v>
      </c>
      <c r="AJ51" s="29"/>
      <c r="AK51" s="9"/>
      <c r="AL51" s="9">
        <v>241.9</v>
      </c>
      <c r="AM51" s="9">
        <v>193.14461586398892</v>
      </c>
      <c r="AN51" s="9">
        <v>297.79833986801395</v>
      </c>
      <c r="AQ51" s="79"/>
    </row>
    <row r="52" spans="1:43">
      <c r="A52" s="20" t="s">
        <v>37</v>
      </c>
      <c r="B52" s="73" t="s">
        <v>210</v>
      </c>
      <c r="C52" s="18">
        <f t="shared" si="13"/>
        <v>154.69999999999999</v>
      </c>
      <c r="D52" s="18">
        <v>157.30000000000001</v>
      </c>
      <c r="E52" s="18">
        <v>152.1</v>
      </c>
      <c r="F52" s="31">
        <f t="shared" si="0"/>
        <v>1272</v>
      </c>
      <c r="G52" s="31">
        <f t="shared" si="1"/>
        <v>912</v>
      </c>
      <c r="H52" s="31">
        <f t="shared" si="2"/>
        <v>1392</v>
      </c>
      <c r="I52" s="63">
        <v>3180</v>
      </c>
      <c r="J52" s="63">
        <v>2280</v>
      </c>
      <c r="K52" s="61">
        <v>3480</v>
      </c>
      <c r="L52" s="61">
        <v>5000</v>
      </c>
      <c r="M52" s="31">
        <v>2000</v>
      </c>
      <c r="N52" s="31"/>
      <c r="O52" s="61" t="s">
        <v>42</v>
      </c>
      <c r="P52" s="13" t="s">
        <v>460</v>
      </c>
      <c r="Q52" s="101">
        <v>0.43099999999999999</v>
      </c>
      <c r="S52" s="30"/>
      <c r="T52" s="53">
        <v>284.55667396680786</v>
      </c>
      <c r="U52" s="103">
        <v>252.4882372439605</v>
      </c>
      <c r="V52" s="103">
        <v>361.79819136714781</v>
      </c>
      <c r="W52" s="61" t="s">
        <v>174</v>
      </c>
      <c r="X52" s="13" t="s">
        <v>0</v>
      </c>
      <c r="Y52" s="79" t="s">
        <v>316</v>
      </c>
      <c r="Z52" s="14">
        <f t="shared" si="14"/>
        <v>59.875</v>
      </c>
      <c r="AA52" s="14">
        <v>60.75</v>
      </c>
      <c r="AB52" s="14">
        <v>59</v>
      </c>
      <c r="AC52" s="51">
        <v>574.18899999999996</v>
      </c>
      <c r="AD52" s="51">
        <v>372</v>
      </c>
      <c r="AE52" s="51">
        <v>790.41</v>
      </c>
      <c r="AF52" s="50" t="s">
        <v>376</v>
      </c>
      <c r="AG52" s="61" t="s">
        <v>42</v>
      </c>
      <c r="AH52" s="13" t="s">
        <v>438</v>
      </c>
      <c r="AI52" s="29">
        <v>3.2391649999999998</v>
      </c>
      <c r="AJ52" s="29"/>
      <c r="AK52" s="9"/>
      <c r="AL52" s="9">
        <v>330.4</v>
      </c>
      <c r="AM52" s="9">
        <v>269.11383307792858</v>
      </c>
      <c r="AN52" s="9">
        <v>402.16744665933152</v>
      </c>
      <c r="AQ52" s="79"/>
    </row>
    <row r="53" spans="1:43">
      <c r="A53" s="20" t="s">
        <v>37</v>
      </c>
      <c r="B53" s="73" t="s">
        <v>211</v>
      </c>
      <c r="C53" s="18">
        <f t="shared" si="13"/>
        <v>187.7</v>
      </c>
      <c r="D53" s="18">
        <v>201.3</v>
      </c>
      <c r="E53" s="18">
        <v>174.1</v>
      </c>
      <c r="F53" s="31">
        <f t="shared" si="0"/>
        <v>1824</v>
      </c>
      <c r="G53" s="31">
        <f t="shared" si="1"/>
        <v>1584</v>
      </c>
      <c r="H53" s="31">
        <f t="shared" si="2"/>
        <v>2064</v>
      </c>
      <c r="I53" s="63">
        <v>4560</v>
      </c>
      <c r="J53" s="63">
        <v>3960</v>
      </c>
      <c r="K53" s="61">
        <v>5160</v>
      </c>
      <c r="L53" s="61">
        <v>5000</v>
      </c>
      <c r="M53" s="31">
        <v>2000</v>
      </c>
      <c r="N53" s="31"/>
      <c r="O53" s="61" t="s">
        <v>42</v>
      </c>
      <c r="P53" s="13" t="s">
        <v>460</v>
      </c>
      <c r="Q53" s="101">
        <v>0.57529999999999992</v>
      </c>
      <c r="S53" s="30"/>
      <c r="T53" s="53">
        <v>301.76162701310443</v>
      </c>
      <c r="U53" s="103">
        <v>260.80611494042785</v>
      </c>
      <c r="V53" s="103">
        <v>393.46380970920313</v>
      </c>
      <c r="W53" s="61" t="s">
        <v>174</v>
      </c>
      <c r="X53" s="13" t="s">
        <v>45</v>
      </c>
      <c r="Y53" s="79" t="s">
        <v>326</v>
      </c>
      <c r="Z53" s="14">
        <f t="shared" si="14"/>
        <v>270.55</v>
      </c>
      <c r="AA53" s="14">
        <v>272.3</v>
      </c>
      <c r="AB53" s="14">
        <v>268.8</v>
      </c>
      <c r="AC53" s="9">
        <v>343</v>
      </c>
      <c r="AD53" s="9">
        <v>310</v>
      </c>
      <c r="AE53" s="9">
        <v>376</v>
      </c>
      <c r="AF53" s="61" t="s">
        <v>379</v>
      </c>
      <c r="AG53" s="61" t="s">
        <v>42</v>
      </c>
      <c r="AH53" s="13" t="s">
        <v>438</v>
      </c>
      <c r="AI53" s="29">
        <v>3.2591450000000002</v>
      </c>
      <c r="AJ53" s="29"/>
      <c r="AK53" s="9"/>
      <c r="AL53" s="9">
        <v>251.5</v>
      </c>
      <c r="AM53" s="9">
        <v>201.43961140532366</v>
      </c>
      <c r="AN53" s="9">
        <v>309.06813354625979</v>
      </c>
      <c r="AQ53" s="79"/>
    </row>
    <row r="54" spans="1:43">
      <c r="A54" s="20" t="s">
        <v>37</v>
      </c>
      <c r="B54" s="73" t="s">
        <v>212</v>
      </c>
      <c r="C54" s="18">
        <f t="shared" si="13"/>
        <v>172.2</v>
      </c>
      <c r="D54" s="18">
        <v>174.1</v>
      </c>
      <c r="E54" s="18">
        <v>170.3</v>
      </c>
      <c r="F54" s="31">
        <f t="shared" si="0"/>
        <v>768</v>
      </c>
      <c r="G54" s="31">
        <f t="shared" si="1"/>
        <v>528</v>
      </c>
      <c r="H54" s="31">
        <f t="shared" si="2"/>
        <v>1008</v>
      </c>
      <c r="I54" s="63">
        <v>1920</v>
      </c>
      <c r="J54" s="63">
        <v>1320</v>
      </c>
      <c r="K54" s="61">
        <v>2520</v>
      </c>
      <c r="L54" s="61">
        <v>5000</v>
      </c>
      <c r="M54" s="31">
        <v>2000</v>
      </c>
      <c r="N54" s="31"/>
      <c r="O54" s="61" t="s">
        <v>42</v>
      </c>
      <c r="P54" s="13" t="s">
        <v>460</v>
      </c>
      <c r="Q54" s="101">
        <v>0.92870000000000008</v>
      </c>
      <c r="S54" s="30"/>
      <c r="T54" s="53">
        <v>290.83479055916712</v>
      </c>
      <c r="U54" s="103">
        <v>254.89642479269938</v>
      </c>
      <c r="V54" s="103">
        <v>374.19961134740407</v>
      </c>
      <c r="W54" s="61" t="s">
        <v>174</v>
      </c>
      <c r="X54" s="13" t="s">
        <v>45</v>
      </c>
      <c r="Y54" s="79" t="s">
        <v>326</v>
      </c>
      <c r="Z54" s="14">
        <f t="shared" si="14"/>
        <v>270.55</v>
      </c>
      <c r="AA54" s="14">
        <v>272.3</v>
      </c>
      <c r="AB54" s="14">
        <v>268.8</v>
      </c>
      <c r="AC54" s="9">
        <v>266</v>
      </c>
      <c r="AD54" s="9">
        <v>237</v>
      </c>
      <c r="AE54" s="9">
        <v>295</v>
      </c>
      <c r="AF54" s="61" t="s">
        <v>379</v>
      </c>
      <c r="AG54" s="61" t="s">
        <v>42</v>
      </c>
      <c r="AH54" s="13" t="s">
        <v>438</v>
      </c>
      <c r="AI54" s="29">
        <v>3.3215949999999999</v>
      </c>
      <c r="AJ54" s="14"/>
      <c r="AK54" s="29"/>
      <c r="AL54" s="9">
        <v>273.60000000000002</v>
      </c>
      <c r="AM54" s="9">
        <v>220.47768137590379</v>
      </c>
      <c r="AN54" s="9">
        <v>335.06770208816988</v>
      </c>
      <c r="AQ54" s="79"/>
    </row>
    <row r="55" spans="1:43">
      <c r="A55" s="20" t="s">
        <v>37</v>
      </c>
      <c r="B55" s="73" t="s">
        <v>213</v>
      </c>
      <c r="C55" s="18">
        <f t="shared" si="13"/>
        <v>223.25</v>
      </c>
      <c r="D55" s="18">
        <v>237</v>
      </c>
      <c r="E55" s="18">
        <v>209.5</v>
      </c>
      <c r="F55" s="31">
        <f t="shared" si="0"/>
        <v>660</v>
      </c>
      <c r="G55" s="31">
        <f t="shared" si="1"/>
        <v>360</v>
      </c>
      <c r="H55" s="31">
        <f t="shared" si="2"/>
        <v>1380</v>
      </c>
      <c r="I55" s="63">
        <v>1650</v>
      </c>
      <c r="J55" s="63">
        <v>900</v>
      </c>
      <c r="K55" s="61">
        <v>3450</v>
      </c>
      <c r="L55" s="61">
        <v>5000</v>
      </c>
      <c r="M55" s="31">
        <v>2000</v>
      </c>
      <c r="N55" s="31"/>
      <c r="O55" s="61" t="s">
        <v>42</v>
      </c>
      <c r="P55" s="13" t="s">
        <v>460</v>
      </c>
      <c r="Q55" s="101">
        <v>1.046</v>
      </c>
      <c r="S55" s="30"/>
      <c r="T55" s="53">
        <v>301.43265120389123</v>
      </c>
      <c r="U55" s="103">
        <v>260.66699429395663</v>
      </c>
      <c r="V55" s="103">
        <v>392.83934166986216</v>
      </c>
      <c r="W55" s="61" t="s">
        <v>174</v>
      </c>
      <c r="X55" s="13" t="s">
        <v>45</v>
      </c>
      <c r="Y55" s="79" t="s">
        <v>326</v>
      </c>
      <c r="Z55" s="14">
        <f t="shared" si="14"/>
        <v>270.55</v>
      </c>
      <c r="AA55" s="14">
        <v>272.3</v>
      </c>
      <c r="AB55" s="14">
        <v>268.8</v>
      </c>
      <c r="AC55" s="9">
        <v>290</v>
      </c>
      <c r="AD55" s="9">
        <v>259</v>
      </c>
      <c r="AE55" s="9">
        <v>321</v>
      </c>
      <c r="AF55" s="61" t="s">
        <v>379</v>
      </c>
      <c r="AG55" s="61" t="s">
        <v>42</v>
      </c>
      <c r="AH55" s="13" t="s">
        <v>438</v>
      </c>
      <c r="AI55" s="29">
        <v>3.4032429999999998</v>
      </c>
      <c r="AJ55" s="14"/>
      <c r="AK55" s="29"/>
      <c r="AL55" s="9">
        <v>254.8</v>
      </c>
      <c r="AM55" s="9">
        <v>204.28733065853677</v>
      </c>
      <c r="AN55" s="9">
        <v>312.94569287574103</v>
      </c>
      <c r="AQ55" s="79"/>
    </row>
    <row r="56" spans="1:43">
      <c r="A56" s="20" t="s">
        <v>37</v>
      </c>
      <c r="B56" s="73" t="s">
        <v>213</v>
      </c>
      <c r="C56" s="18">
        <f t="shared" si="13"/>
        <v>223.25</v>
      </c>
      <c r="D56" s="18">
        <v>237</v>
      </c>
      <c r="E56" s="18">
        <v>209.5</v>
      </c>
      <c r="F56" s="31">
        <f t="shared" si="0"/>
        <v>732</v>
      </c>
      <c r="G56" s="31">
        <f t="shared" si="1"/>
        <v>360</v>
      </c>
      <c r="H56" s="31">
        <f t="shared" si="2"/>
        <v>1380</v>
      </c>
      <c r="I56" s="63">
        <v>1830</v>
      </c>
      <c r="J56" s="63">
        <v>900</v>
      </c>
      <c r="K56" s="61">
        <v>3450</v>
      </c>
      <c r="L56" s="61">
        <v>5000</v>
      </c>
      <c r="M56" s="31">
        <v>2000</v>
      </c>
      <c r="N56" s="31"/>
      <c r="O56" s="61" t="s">
        <v>42</v>
      </c>
      <c r="P56" s="13" t="s">
        <v>460</v>
      </c>
      <c r="Q56" s="101">
        <v>1.1910000000000001</v>
      </c>
      <c r="S56" s="30"/>
      <c r="T56" s="53">
        <v>322.35696313228158</v>
      </c>
      <c r="U56" s="103">
        <v>281.42024329122967</v>
      </c>
      <c r="V56" s="103">
        <v>416.36204989699053</v>
      </c>
      <c r="W56" s="61" t="s">
        <v>174</v>
      </c>
      <c r="X56" s="13" t="s">
        <v>45</v>
      </c>
      <c r="Y56" s="79" t="s">
        <v>326</v>
      </c>
      <c r="Z56" s="14">
        <f t="shared" si="14"/>
        <v>270.55</v>
      </c>
      <c r="AA56" s="14">
        <v>272.3</v>
      </c>
      <c r="AB56" s="14">
        <v>268.8</v>
      </c>
      <c r="AC56" s="9">
        <v>326</v>
      </c>
      <c r="AD56" s="9">
        <v>294</v>
      </c>
      <c r="AE56" s="9">
        <v>358</v>
      </c>
      <c r="AF56" s="61" t="s">
        <v>379</v>
      </c>
      <c r="AG56" s="61" t="s">
        <v>42</v>
      </c>
      <c r="AH56" s="13" t="s">
        <v>438</v>
      </c>
      <c r="AI56" s="29">
        <v>3.40673</v>
      </c>
      <c r="AJ56" s="14"/>
      <c r="AK56" s="29"/>
      <c r="AL56" s="9">
        <v>250.5</v>
      </c>
      <c r="AM56" s="9">
        <v>200.57630265845688</v>
      </c>
      <c r="AN56" s="9">
        <v>307.89346652712311</v>
      </c>
      <c r="AQ56" s="79"/>
    </row>
    <row r="57" spans="1:43">
      <c r="A57" s="20" t="s">
        <v>37</v>
      </c>
      <c r="B57" s="73" t="s">
        <v>213</v>
      </c>
      <c r="C57" s="18">
        <f t="shared" si="13"/>
        <v>223.25</v>
      </c>
      <c r="D57" s="18">
        <v>237</v>
      </c>
      <c r="E57" s="18">
        <v>209.5</v>
      </c>
      <c r="F57" s="31">
        <f t="shared" si="0"/>
        <v>1140</v>
      </c>
      <c r="G57" s="31">
        <f t="shared" si="1"/>
        <v>360</v>
      </c>
      <c r="H57" s="31">
        <f t="shared" si="2"/>
        <v>1380</v>
      </c>
      <c r="I57" s="63">
        <v>2850</v>
      </c>
      <c r="J57" s="63">
        <v>900</v>
      </c>
      <c r="K57" s="61">
        <v>3450</v>
      </c>
      <c r="L57" s="61">
        <v>5000</v>
      </c>
      <c r="M57" s="31">
        <v>2000</v>
      </c>
      <c r="N57" s="31"/>
      <c r="O57" s="61" t="s">
        <v>42</v>
      </c>
      <c r="P57" s="13" t="s">
        <v>460</v>
      </c>
      <c r="Q57" s="101">
        <v>1.206</v>
      </c>
      <c r="S57" s="30"/>
      <c r="T57" s="53">
        <v>311.20735150318257</v>
      </c>
      <c r="U57" s="103">
        <v>263.15392050354984</v>
      </c>
      <c r="V57" s="103">
        <v>414.26836162988764</v>
      </c>
      <c r="W57" s="61" t="s">
        <v>174</v>
      </c>
      <c r="X57" s="13" t="s">
        <v>45</v>
      </c>
      <c r="Y57" s="79" t="s">
        <v>326</v>
      </c>
      <c r="Z57" s="14">
        <f t="shared" si="14"/>
        <v>270.55</v>
      </c>
      <c r="AA57" s="14">
        <v>272.3</v>
      </c>
      <c r="AB57" s="14">
        <v>268.8</v>
      </c>
      <c r="AC57" s="9">
        <v>342</v>
      </c>
      <c r="AD57" s="9">
        <v>309</v>
      </c>
      <c r="AE57" s="9">
        <v>375</v>
      </c>
      <c r="AF57" s="61" t="s">
        <v>379</v>
      </c>
      <c r="AG57" s="61" t="s">
        <v>42</v>
      </c>
      <c r="AH57" s="13" t="s">
        <v>438</v>
      </c>
      <c r="AI57" s="29">
        <v>3.4714659999999999</v>
      </c>
      <c r="AJ57" s="14"/>
      <c r="AK57" s="29"/>
      <c r="AL57" s="9">
        <v>291.60000000000002</v>
      </c>
      <c r="AM57" s="9">
        <v>235.93172361209665</v>
      </c>
      <c r="AN57" s="9">
        <v>356.29329486121418</v>
      </c>
      <c r="AQ57" s="79"/>
    </row>
    <row r="58" spans="1:43">
      <c r="A58" s="20" t="s">
        <v>37</v>
      </c>
      <c r="B58" s="73" t="s">
        <v>214</v>
      </c>
      <c r="C58" s="18">
        <f t="shared" si="13"/>
        <v>242.05</v>
      </c>
      <c r="D58" s="18">
        <v>247.1</v>
      </c>
      <c r="E58" s="18">
        <v>237</v>
      </c>
      <c r="F58" s="31">
        <f t="shared" si="0"/>
        <v>244</v>
      </c>
      <c r="G58" s="31">
        <f t="shared" si="1"/>
        <v>120</v>
      </c>
      <c r="H58" s="31">
        <f t="shared" si="2"/>
        <v>360</v>
      </c>
      <c r="I58" s="63">
        <v>610</v>
      </c>
      <c r="J58" s="63">
        <v>300</v>
      </c>
      <c r="K58" s="61">
        <v>900</v>
      </c>
      <c r="L58" s="61">
        <v>5000</v>
      </c>
      <c r="M58" s="31">
        <v>2000</v>
      </c>
      <c r="N58" s="31"/>
      <c r="O58" s="61" t="s">
        <v>42</v>
      </c>
      <c r="P58" s="13" t="s">
        <v>460</v>
      </c>
      <c r="Q58" s="101">
        <v>1.2187999999999999</v>
      </c>
      <c r="S58" s="30"/>
      <c r="T58" s="53">
        <v>317.3399349352336</v>
      </c>
      <c r="U58" s="103">
        <v>277.75826767554582</v>
      </c>
      <c r="V58" s="103">
        <v>408.8520902550033</v>
      </c>
      <c r="W58" s="61" t="s">
        <v>174</v>
      </c>
      <c r="X58" s="13" t="s">
        <v>45</v>
      </c>
      <c r="Y58" s="79" t="s">
        <v>327</v>
      </c>
      <c r="Z58" s="14">
        <f t="shared" si="14"/>
        <v>313.5</v>
      </c>
      <c r="AA58" s="14">
        <v>319</v>
      </c>
      <c r="AB58" s="14">
        <v>308</v>
      </c>
      <c r="AC58" s="9">
        <v>348</v>
      </c>
      <c r="AD58" s="9">
        <v>316</v>
      </c>
      <c r="AE58" s="9">
        <v>380</v>
      </c>
      <c r="AF58" s="61" t="s">
        <v>379</v>
      </c>
      <c r="AG58" s="61" t="s">
        <v>42</v>
      </c>
      <c r="AH58" s="13" t="s">
        <v>438</v>
      </c>
      <c r="AI58" s="29">
        <v>3.5425259999999996</v>
      </c>
      <c r="AJ58" s="14"/>
      <c r="AK58" s="9"/>
      <c r="AL58" s="9">
        <v>329.3</v>
      </c>
      <c r="AM58" s="9">
        <v>268.17522686954169</v>
      </c>
      <c r="AN58" s="9">
        <v>400.86493275340933</v>
      </c>
      <c r="AQ58" s="79"/>
    </row>
    <row r="59" spans="1:43">
      <c r="A59" s="20" t="s">
        <v>37</v>
      </c>
      <c r="B59" s="73" t="s">
        <v>217</v>
      </c>
      <c r="C59" s="18">
        <f t="shared" si="13"/>
        <v>259.39999999999998</v>
      </c>
      <c r="D59" s="18">
        <v>259.8</v>
      </c>
      <c r="E59" s="18">
        <v>259</v>
      </c>
      <c r="F59" s="31">
        <f t="shared" si="0"/>
        <v>400</v>
      </c>
      <c r="G59" s="31">
        <f t="shared" si="1"/>
        <v>240</v>
      </c>
      <c r="H59" s="31">
        <f t="shared" si="2"/>
        <v>600</v>
      </c>
      <c r="I59" s="63">
        <v>1000</v>
      </c>
      <c r="J59" s="63">
        <v>600</v>
      </c>
      <c r="K59" s="61">
        <v>1500</v>
      </c>
      <c r="L59" s="61">
        <v>5000</v>
      </c>
      <c r="M59" s="31">
        <v>2000</v>
      </c>
      <c r="N59" s="31"/>
      <c r="O59" s="61" t="s">
        <v>42</v>
      </c>
      <c r="P59" s="13" t="s">
        <v>460</v>
      </c>
      <c r="Q59" s="101">
        <v>1.2322</v>
      </c>
      <c r="S59" s="30"/>
      <c r="T59" s="53">
        <v>322.3243459449867</v>
      </c>
      <c r="U59" s="103">
        <v>277.67026683784979</v>
      </c>
      <c r="V59" s="103">
        <v>421.63488059528441</v>
      </c>
      <c r="W59" s="61" t="s">
        <v>174</v>
      </c>
      <c r="X59" s="13" t="s">
        <v>45</v>
      </c>
      <c r="Y59" s="79" t="s">
        <v>327</v>
      </c>
      <c r="Z59" s="14">
        <f t="shared" si="14"/>
        <v>313.5</v>
      </c>
      <c r="AA59" s="14">
        <v>319</v>
      </c>
      <c r="AB59" s="14">
        <v>308</v>
      </c>
      <c r="AC59" s="9">
        <v>351</v>
      </c>
      <c r="AD59" s="9">
        <v>319</v>
      </c>
      <c r="AE59" s="9">
        <v>383</v>
      </c>
      <c r="AF59" s="61" t="s">
        <v>379</v>
      </c>
      <c r="AG59" s="61" t="s">
        <v>42</v>
      </c>
      <c r="AH59" s="13" t="s">
        <v>438</v>
      </c>
      <c r="AI59" s="29">
        <v>3.59077</v>
      </c>
      <c r="AJ59" s="14"/>
      <c r="AK59" s="9"/>
      <c r="AL59" s="9">
        <v>282.2</v>
      </c>
      <c r="AM59" s="9">
        <v>227.86664956953234</v>
      </c>
      <c r="AN59" s="9">
        <v>345.20375861803802</v>
      </c>
      <c r="AQ59" s="79"/>
    </row>
    <row r="60" spans="1:43">
      <c r="A60" s="20" t="s">
        <v>37</v>
      </c>
      <c r="B60" s="73" t="s">
        <v>218</v>
      </c>
      <c r="C60" s="18">
        <f t="shared" si="13"/>
        <v>290.45</v>
      </c>
      <c r="D60" s="93">
        <v>298.89999999999998</v>
      </c>
      <c r="E60" s="93">
        <v>282</v>
      </c>
      <c r="F60" s="31">
        <f t="shared" si="0"/>
        <v>0</v>
      </c>
      <c r="G60" s="31">
        <f t="shared" si="1"/>
        <v>0</v>
      </c>
      <c r="H60" s="31">
        <f t="shared" si="2"/>
        <v>120</v>
      </c>
      <c r="I60" s="17">
        <v>0</v>
      </c>
      <c r="J60" s="17">
        <v>0</v>
      </c>
      <c r="K60" s="21">
        <v>300</v>
      </c>
      <c r="L60" s="61">
        <v>5000</v>
      </c>
      <c r="M60" s="31">
        <v>2000</v>
      </c>
      <c r="N60" s="31"/>
      <c r="O60" s="61" t="s">
        <v>42</v>
      </c>
      <c r="P60" s="13" t="s">
        <v>460</v>
      </c>
      <c r="Q60" s="101">
        <v>1.25</v>
      </c>
      <c r="S60" s="30"/>
      <c r="T60" s="53">
        <v>291.09300901319125</v>
      </c>
      <c r="U60" s="103">
        <v>257.16954958956313</v>
      </c>
      <c r="V60" s="103">
        <v>371.66785591732031</v>
      </c>
      <c r="W60" s="61" t="s">
        <v>174</v>
      </c>
      <c r="X60" s="13" t="s">
        <v>45</v>
      </c>
      <c r="Y60" s="79" t="s">
        <v>327</v>
      </c>
      <c r="Z60" s="14">
        <f t="shared" si="14"/>
        <v>313.5</v>
      </c>
      <c r="AA60" s="14">
        <v>319</v>
      </c>
      <c r="AB60" s="14">
        <v>308</v>
      </c>
      <c r="AC60" s="9">
        <v>336</v>
      </c>
      <c r="AD60" s="9">
        <v>305</v>
      </c>
      <c r="AE60" s="9">
        <v>367</v>
      </c>
      <c r="AF60" s="61" t="s">
        <v>379</v>
      </c>
      <c r="AG60" s="61" t="s">
        <v>42</v>
      </c>
      <c r="AH60" s="13" t="s">
        <v>438</v>
      </c>
      <c r="AI60" s="29">
        <v>3.7160579999999999</v>
      </c>
      <c r="AJ60" s="9"/>
      <c r="AK60" s="9"/>
      <c r="AL60" s="9">
        <v>309.8</v>
      </c>
      <c r="AM60" s="9">
        <v>251.51666027928738</v>
      </c>
      <c r="AN60" s="9">
        <v>377.79295257598392</v>
      </c>
      <c r="AQ60" s="79"/>
    </row>
    <row r="61" spans="1:43">
      <c r="A61" s="20" t="s">
        <v>37</v>
      </c>
      <c r="B61" s="72" t="s">
        <v>219</v>
      </c>
      <c r="C61" s="18">
        <f t="shared" si="13"/>
        <v>302.95</v>
      </c>
      <c r="D61" s="18">
        <v>307</v>
      </c>
      <c r="E61" s="18">
        <v>298.89999999999998</v>
      </c>
      <c r="F61" s="31">
        <f t="shared" si="0"/>
        <v>608</v>
      </c>
      <c r="G61" s="31">
        <f t="shared" si="1"/>
        <v>360</v>
      </c>
      <c r="H61" s="31">
        <f t="shared" si="2"/>
        <v>840</v>
      </c>
      <c r="I61" s="63">
        <v>1520</v>
      </c>
      <c r="J61" s="63">
        <v>900</v>
      </c>
      <c r="K61" s="61">
        <v>2100</v>
      </c>
      <c r="L61" s="61">
        <v>5000</v>
      </c>
      <c r="M61" s="31">
        <v>2000</v>
      </c>
      <c r="N61" s="31"/>
      <c r="O61" s="61" t="s">
        <v>42</v>
      </c>
      <c r="P61" s="13" t="s">
        <v>460</v>
      </c>
      <c r="Q61" s="101">
        <v>1.272</v>
      </c>
      <c r="S61" s="30"/>
      <c r="T61" s="53">
        <v>308.77784954179145</v>
      </c>
      <c r="U61" s="103">
        <v>257.46461728174415</v>
      </c>
      <c r="V61" s="103">
        <v>416.44480192897186</v>
      </c>
      <c r="W61" s="61" t="s">
        <v>174</v>
      </c>
      <c r="X61" s="13" t="s">
        <v>45</v>
      </c>
      <c r="Y61" s="79" t="s">
        <v>327</v>
      </c>
      <c r="Z61" s="14">
        <f t="shared" si="14"/>
        <v>313.5</v>
      </c>
      <c r="AA61" s="14">
        <v>319</v>
      </c>
      <c r="AB61" s="14">
        <v>308</v>
      </c>
      <c r="AC61" s="9">
        <v>308</v>
      </c>
      <c r="AD61" s="9">
        <v>277</v>
      </c>
      <c r="AE61" s="9">
        <v>339</v>
      </c>
      <c r="AF61" s="61" t="s">
        <v>379</v>
      </c>
      <c r="AG61" s="61" t="s">
        <v>42</v>
      </c>
      <c r="AH61" s="13" t="s">
        <v>438</v>
      </c>
      <c r="AI61" s="29">
        <v>3.7921770000000001</v>
      </c>
      <c r="AJ61" s="9"/>
      <c r="AK61" s="9"/>
      <c r="AL61" s="9">
        <v>287.5</v>
      </c>
      <c r="AM61" s="9">
        <v>232.41537050818985</v>
      </c>
      <c r="AN61" s="9">
        <v>351.45506234849591</v>
      </c>
      <c r="AQ61" s="79"/>
    </row>
    <row r="62" spans="1:43">
      <c r="A62" s="20" t="s">
        <v>37</v>
      </c>
      <c r="B62" s="73" t="s">
        <v>407</v>
      </c>
      <c r="C62" s="18">
        <f t="shared" si="13"/>
        <v>344.75</v>
      </c>
      <c r="D62" s="18">
        <v>347</v>
      </c>
      <c r="E62" s="18">
        <v>342.5</v>
      </c>
      <c r="F62" s="31">
        <f t="shared" si="0"/>
        <v>824</v>
      </c>
      <c r="G62" s="31">
        <f t="shared" si="1"/>
        <v>600</v>
      </c>
      <c r="H62" s="31">
        <f t="shared" si="2"/>
        <v>1020</v>
      </c>
      <c r="I62" s="63">
        <v>2060</v>
      </c>
      <c r="J62" s="63">
        <v>1500</v>
      </c>
      <c r="K62" s="61">
        <v>2550</v>
      </c>
      <c r="L62" s="61">
        <v>5000</v>
      </c>
      <c r="M62" s="31">
        <v>2000</v>
      </c>
      <c r="N62" s="31"/>
      <c r="O62" s="61" t="s">
        <v>42</v>
      </c>
      <c r="P62" s="13" t="s">
        <v>460</v>
      </c>
      <c r="Q62" s="101">
        <v>1.2846</v>
      </c>
      <c r="S62" s="30"/>
      <c r="T62" s="53">
        <v>298.36203544370949</v>
      </c>
      <c r="U62" s="103">
        <v>263.04546574081945</v>
      </c>
      <c r="V62" s="103">
        <v>381.71234124190084</v>
      </c>
      <c r="W62" s="61" t="s">
        <v>174</v>
      </c>
      <c r="X62" s="13" t="s">
        <v>45</v>
      </c>
      <c r="Y62" s="79" t="s">
        <v>327</v>
      </c>
      <c r="Z62" s="14">
        <f t="shared" si="14"/>
        <v>313.5</v>
      </c>
      <c r="AA62" s="14">
        <v>319</v>
      </c>
      <c r="AB62" s="14">
        <v>308</v>
      </c>
      <c r="AC62" s="9">
        <v>350</v>
      </c>
      <c r="AD62" s="9">
        <v>318</v>
      </c>
      <c r="AE62" s="9">
        <v>382</v>
      </c>
      <c r="AF62" s="61" t="s">
        <v>379</v>
      </c>
      <c r="AG62" s="61" t="s">
        <v>42</v>
      </c>
      <c r="AH62" s="13" t="s">
        <v>438</v>
      </c>
      <c r="AI62" s="29">
        <v>3.8701309999999998</v>
      </c>
      <c r="AJ62" s="9"/>
      <c r="AK62" s="9"/>
      <c r="AL62" s="9">
        <v>407.9</v>
      </c>
      <c r="AM62" s="9">
        <v>335.00445066912516</v>
      </c>
      <c r="AN62" s="9">
        <v>494.15135593137069</v>
      </c>
      <c r="AQ62" s="79"/>
    </row>
    <row r="63" spans="1:43">
      <c r="A63" s="20" t="s">
        <v>37</v>
      </c>
      <c r="B63" s="73" t="s">
        <v>221</v>
      </c>
      <c r="C63" s="18">
        <f t="shared" si="13"/>
        <v>388</v>
      </c>
      <c r="D63" s="18">
        <v>393.3</v>
      </c>
      <c r="E63" s="18">
        <v>382.7</v>
      </c>
      <c r="F63" s="31">
        <f t="shared" si="0"/>
        <v>624</v>
      </c>
      <c r="G63" s="31">
        <f t="shared" si="1"/>
        <v>384</v>
      </c>
      <c r="H63" s="31">
        <f t="shared" si="2"/>
        <v>864</v>
      </c>
      <c r="I63" s="63">
        <v>1560</v>
      </c>
      <c r="J63" s="63">
        <v>960</v>
      </c>
      <c r="K63" s="61">
        <v>2160</v>
      </c>
      <c r="L63" s="61">
        <v>5000</v>
      </c>
      <c r="M63" s="31">
        <v>2000</v>
      </c>
      <c r="N63" s="31"/>
      <c r="O63" s="61" t="s">
        <v>42</v>
      </c>
      <c r="P63" s="13" t="s">
        <v>460</v>
      </c>
      <c r="Q63" s="101">
        <v>1.3512</v>
      </c>
      <c r="S63" s="30"/>
      <c r="T63" s="53">
        <v>325.94422143074667</v>
      </c>
      <c r="U63" s="103">
        <v>275.51167930541231</v>
      </c>
      <c r="V63" s="103">
        <v>434.10985175706821</v>
      </c>
      <c r="W63" s="61" t="s">
        <v>174</v>
      </c>
      <c r="X63" s="13" t="s">
        <v>45</v>
      </c>
      <c r="Y63" s="79" t="s">
        <v>327</v>
      </c>
      <c r="Z63" s="14">
        <f t="shared" si="14"/>
        <v>313.5</v>
      </c>
      <c r="AA63" s="14">
        <v>319</v>
      </c>
      <c r="AB63" s="14">
        <v>308</v>
      </c>
      <c r="AC63" s="9">
        <v>366</v>
      </c>
      <c r="AD63" s="9">
        <v>333</v>
      </c>
      <c r="AE63" s="9">
        <v>399</v>
      </c>
      <c r="AF63" s="61" t="s">
        <v>379</v>
      </c>
      <c r="AG63" s="61" t="s">
        <v>42</v>
      </c>
      <c r="AH63" s="13" t="s">
        <v>438</v>
      </c>
      <c r="AI63" s="29">
        <v>3.961068</v>
      </c>
      <c r="AJ63" s="9"/>
      <c r="AK63" s="9"/>
      <c r="AL63" s="9">
        <v>294.5</v>
      </c>
      <c r="AM63" s="9">
        <v>238.41764041830979</v>
      </c>
      <c r="AN63" s="9">
        <v>359.71663898116799</v>
      </c>
      <c r="AQ63" s="79"/>
    </row>
    <row r="64" spans="1:43">
      <c r="A64" s="26" t="s">
        <v>34</v>
      </c>
      <c r="B64" s="74" t="s">
        <v>276</v>
      </c>
      <c r="C64" s="18">
        <f t="shared" si="13"/>
        <v>130.1</v>
      </c>
      <c r="D64" s="92">
        <v>133.9</v>
      </c>
      <c r="E64" s="92">
        <v>126.3</v>
      </c>
      <c r="F64" s="48">
        <f t="shared" si="0"/>
        <v>1150</v>
      </c>
      <c r="G64" s="48">
        <f t="shared" si="1"/>
        <v>1100</v>
      </c>
      <c r="H64" s="48">
        <f t="shared" si="2"/>
        <v>1200</v>
      </c>
      <c r="I64" s="69">
        <v>2300</v>
      </c>
      <c r="J64" s="69">
        <v>2200</v>
      </c>
      <c r="K64" s="69">
        <v>2400</v>
      </c>
      <c r="L64" s="69">
        <v>4000</v>
      </c>
      <c r="M64" s="48">
        <v>2000</v>
      </c>
      <c r="N64" s="48"/>
      <c r="O64" s="61" t="s">
        <v>42</v>
      </c>
      <c r="P64" s="13" t="s">
        <v>460</v>
      </c>
      <c r="Q64" s="101">
        <v>1.6407</v>
      </c>
      <c r="S64" s="30"/>
      <c r="T64" s="53">
        <v>297.8576960040109</v>
      </c>
      <c r="U64" s="103">
        <v>254.97090905706878</v>
      </c>
      <c r="V64" s="103">
        <v>391.95739392919472</v>
      </c>
      <c r="W64" s="61" t="s">
        <v>174</v>
      </c>
      <c r="X64" s="13" t="s">
        <v>45</v>
      </c>
      <c r="Y64" s="79" t="s">
        <v>327</v>
      </c>
      <c r="Z64" s="14">
        <f t="shared" si="14"/>
        <v>313.5</v>
      </c>
      <c r="AA64" s="14">
        <v>319</v>
      </c>
      <c r="AB64" s="14">
        <v>308</v>
      </c>
      <c r="AC64" s="9">
        <v>368</v>
      </c>
      <c r="AD64" s="9">
        <v>336</v>
      </c>
      <c r="AE64" s="9">
        <v>400</v>
      </c>
      <c r="AF64" s="61" t="s">
        <v>379</v>
      </c>
      <c r="AG64" s="61" t="s">
        <v>42</v>
      </c>
      <c r="AH64" s="13" t="s">
        <v>438</v>
      </c>
      <c r="AI64" s="29">
        <v>4.0361840000000004</v>
      </c>
      <c r="AJ64" s="9"/>
      <c r="AK64" s="9"/>
      <c r="AL64" s="9">
        <v>334.4</v>
      </c>
      <c r="AM64" s="9">
        <v>272.52600727284522</v>
      </c>
      <c r="AN64" s="9">
        <v>406.90471984636582</v>
      </c>
      <c r="AQ64" s="79"/>
    </row>
    <row r="65" spans="1:43">
      <c r="A65" s="7" t="s">
        <v>179</v>
      </c>
      <c r="B65" s="72" t="s">
        <v>241</v>
      </c>
      <c r="C65" s="18">
        <f t="shared" si="13"/>
        <v>134.25</v>
      </c>
      <c r="D65" s="18">
        <v>136.5</v>
      </c>
      <c r="E65" s="18">
        <v>132</v>
      </c>
      <c r="F65" s="31">
        <f t="shared" si="0"/>
        <v>653.33333333333337</v>
      </c>
      <c r="G65" s="31">
        <f t="shared" si="1"/>
        <v>453.33333333333331</v>
      </c>
      <c r="H65" s="31">
        <f t="shared" si="2"/>
        <v>853.33333333333337</v>
      </c>
      <c r="I65" s="63">
        <v>2450</v>
      </c>
      <c r="J65" s="63">
        <v>1700</v>
      </c>
      <c r="K65" s="63">
        <v>3200</v>
      </c>
      <c r="L65" s="63">
        <v>7500</v>
      </c>
      <c r="M65" s="31">
        <v>2000</v>
      </c>
      <c r="N65" s="31"/>
      <c r="O65" s="61" t="s">
        <v>42</v>
      </c>
      <c r="P65" s="13" t="s">
        <v>460</v>
      </c>
      <c r="Q65" s="101">
        <v>1.7295</v>
      </c>
      <c r="S65" s="30"/>
      <c r="T65" s="53">
        <v>312.12452776363517</v>
      </c>
      <c r="U65" s="103">
        <v>271.01815867860364</v>
      </c>
      <c r="V65" s="103">
        <v>405.20806875405617</v>
      </c>
      <c r="W65" s="61" t="s">
        <v>174</v>
      </c>
      <c r="X65" s="13" t="s">
        <v>45</v>
      </c>
      <c r="Y65" s="79" t="s">
        <v>327</v>
      </c>
      <c r="Z65" s="14">
        <f t="shared" si="14"/>
        <v>313.5</v>
      </c>
      <c r="AA65" s="14">
        <v>319</v>
      </c>
      <c r="AB65" s="14">
        <v>308</v>
      </c>
      <c r="AC65" s="9">
        <v>358</v>
      </c>
      <c r="AD65" s="9">
        <v>326</v>
      </c>
      <c r="AE65" s="9">
        <v>390</v>
      </c>
      <c r="AF65" s="61" t="s">
        <v>379</v>
      </c>
      <c r="AG65" s="61" t="s">
        <v>42</v>
      </c>
      <c r="AH65" s="13" t="s">
        <v>438</v>
      </c>
      <c r="AI65" s="29">
        <v>4.1171319999999998</v>
      </c>
      <c r="AJ65" s="9"/>
      <c r="AK65" s="9"/>
      <c r="AL65" s="9">
        <v>393.7</v>
      </c>
      <c r="AM65" s="9">
        <v>322.96198645530114</v>
      </c>
      <c r="AN65" s="9">
        <v>477.27025547406208</v>
      </c>
      <c r="AQ65" s="79"/>
    </row>
    <row r="66" spans="1:43">
      <c r="A66" s="7" t="s">
        <v>69</v>
      </c>
      <c r="B66" s="72" t="s">
        <v>237</v>
      </c>
      <c r="C66" s="18">
        <f t="shared" si="13"/>
        <v>365.54999999999995</v>
      </c>
      <c r="D66" s="18">
        <v>372.2</v>
      </c>
      <c r="E66" s="18">
        <v>358.9</v>
      </c>
      <c r="F66" s="31">
        <f t="shared" si="0"/>
        <v>1140</v>
      </c>
      <c r="G66" s="31">
        <f t="shared" si="1"/>
        <v>840</v>
      </c>
      <c r="H66" s="31">
        <f t="shared" si="2"/>
        <v>1440</v>
      </c>
      <c r="I66" s="63">
        <v>2850</v>
      </c>
      <c r="J66" s="63">
        <v>2100</v>
      </c>
      <c r="K66" s="61">
        <v>3600</v>
      </c>
      <c r="L66" s="61">
        <v>5000</v>
      </c>
      <c r="M66" s="31">
        <v>2000</v>
      </c>
      <c r="N66" s="61" t="s">
        <v>377</v>
      </c>
      <c r="O66" s="61" t="s">
        <v>42</v>
      </c>
      <c r="P66" s="13" t="s">
        <v>460</v>
      </c>
      <c r="Q66" s="101">
        <v>1.9650000000000001</v>
      </c>
      <c r="S66" s="30"/>
      <c r="T66" s="53">
        <v>309.05308788347708</v>
      </c>
      <c r="U66" s="103">
        <v>263.39371099817419</v>
      </c>
      <c r="V66" s="103">
        <v>408.36146393528043</v>
      </c>
      <c r="W66" s="61" t="s">
        <v>174</v>
      </c>
      <c r="X66" s="13" t="s">
        <v>45</v>
      </c>
      <c r="Y66" s="79" t="s">
        <v>327</v>
      </c>
      <c r="Z66" s="14">
        <f t="shared" si="14"/>
        <v>313.5</v>
      </c>
      <c r="AA66" s="14">
        <v>319</v>
      </c>
      <c r="AB66" s="14">
        <v>308</v>
      </c>
      <c r="AC66" s="9">
        <v>303</v>
      </c>
      <c r="AD66" s="9">
        <v>272</v>
      </c>
      <c r="AE66" s="9">
        <v>334</v>
      </c>
      <c r="AF66" s="61" t="s">
        <v>379</v>
      </c>
      <c r="AG66" s="61" t="s">
        <v>42</v>
      </c>
      <c r="AH66" s="13" t="s">
        <v>438</v>
      </c>
      <c r="AI66" s="29">
        <v>4.5802950000000004</v>
      </c>
      <c r="AJ66" s="9"/>
      <c r="AK66" s="9"/>
      <c r="AL66" s="9">
        <v>424.7</v>
      </c>
      <c r="AM66" s="9">
        <v>349.23758750046483</v>
      </c>
      <c r="AN66" s="9">
        <v>514.13603077060156</v>
      </c>
      <c r="AQ66" s="79"/>
    </row>
    <row r="67" spans="1:43">
      <c r="A67" s="7" t="s">
        <v>69</v>
      </c>
      <c r="B67" s="72" t="s">
        <v>237</v>
      </c>
      <c r="C67" s="18">
        <f t="shared" si="13"/>
        <v>365.54999999999995</v>
      </c>
      <c r="D67" s="18">
        <v>372.2</v>
      </c>
      <c r="E67" s="18">
        <v>358.9</v>
      </c>
      <c r="F67" s="31">
        <f t="shared" si="0"/>
        <v>1260</v>
      </c>
      <c r="G67" s="31">
        <f t="shared" si="1"/>
        <v>960</v>
      </c>
      <c r="H67" s="31">
        <f t="shared" si="2"/>
        <v>1560</v>
      </c>
      <c r="I67" s="63">
        <v>3150</v>
      </c>
      <c r="J67" s="63">
        <v>2400</v>
      </c>
      <c r="K67" s="61">
        <v>3900</v>
      </c>
      <c r="L67" s="61">
        <v>5000</v>
      </c>
      <c r="M67" s="31">
        <v>2000</v>
      </c>
      <c r="N67" s="61" t="s">
        <v>377</v>
      </c>
      <c r="O67" s="61" t="s">
        <v>42</v>
      </c>
      <c r="P67" s="13" t="s">
        <v>460</v>
      </c>
      <c r="Q67" s="101">
        <v>2.0926</v>
      </c>
      <c r="S67" s="30"/>
      <c r="T67" s="53">
        <v>328.63895804321317</v>
      </c>
      <c r="U67" s="103">
        <v>274.60207033849736</v>
      </c>
      <c r="V67" s="103">
        <v>442.46339304598291</v>
      </c>
      <c r="W67" s="61" t="s">
        <v>174</v>
      </c>
      <c r="X67" s="13" t="s">
        <v>45</v>
      </c>
      <c r="Y67" s="79" t="s">
        <v>327</v>
      </c>
      <c r="Z67" s="14">
        <f t="shared" si="14"/>
        <v>313.5</v>
      </c>
      <c r="AA67" s="14">
        <v>319</v>
      </c>
      <c r="AB67" s="14">
        <v>308</v>
      </c>
      <c r="AC67" s="9">
        <v>367</v>
      </c>
      <c r="AD67" s="9">
        <v>333</v>
      </c>
      <c r="AE67" s="9">
        <v>401</v>
      </c>
      <c r="AF67" s="61" t="s">
        <v>379</v>
      </c>
      <c r="AG67" s="61" t="s">
        <v>42</v>
      </c>
      <c r="AH67" s="13" t="s">
        <v>182</v>
      </c>
      <c r="AI67" s="29">
        <v>12.281323608963532</v>
      </c>
      <c r="AJ67" s="9"/>
      <c r="AK67" s="9"/>
      <c r="AL67" s="9">
        <v>189.87158075057698</v>
      </c>
      <c r="AM67" s="9">
        <v>154.18619646128423</v>
      </c>
      <c r="AN67" s="9">
        <v>225.92266443734343</v>
      </c>
      <c r="AQ67" s="79"/>
    </row>
    <row r="68" spans="1:43">
      <c r="A68" s="7" t="s">
        <v>69</v>
      </c>
      <c r="B68" s="72" t="s">
        <v>243</v>
      </c>
      <c r="C68" s="18">
        <f t="shared" si="13"/>
        <v>402.55</v>
      </c>
      <c r="D68" s="18">
        <v>407.6</v>
      </c>
      <c r="E68" s="18">
        <v>397.5</v>
      </c>
      <c r="F68" s="31">
        <f t="shared" ref="F68:F131" si="15">I68*$M68/$L68</f>
        <v>1320</v>
      </c>
      <c r="G68" s="31">
        <f t="shared" ref="G68:G131" si="16">J68*$M68/$L68</f>
        <v>960</v>
      </c>
      <c r="H68" s="31">
        <f t="shared" ref="H68:H131" si="17">K68*$M68/$L68</f>
        <v>1680</v>
      </c>
      <c r="I68" s="63">
        <v>3300</v>
      </c>
      <c r="J68" s="63">
        <v>2400</v>
      </c>
      <c r="K68" s="63">
        <v>4200</v>
      </c>
      <c r="L68" s="63">
        <v>5000</v>
      </c>
      <c r="M68" s="31">
        <v>2000</v>
      </c>
      <c r="N68" s="61" t="s">
        <v>377</v>
      </c>
      <c r="O68" s="61" t="s">
        <v>42</v>
      </c>
      <c r="P68" s="13" t="s">
        <v>460</v>
      </c>
      <c r="Q68" s="101">
        <v>2.1915</v>
      </c>
      <c r="S68" s="30"/>
      <c r="T68" s="53">
        <v>330.57643399365156</v>
      </c>
      <c r="U68" s="103">
        <v>279.00430740342074</v>
      </c>
      <c r="V68" s="103">
        <v>440.89601172605717</v>
      </c>
      <c r="W68" s="61" t="s">
        <v>174</v>
      </c>
      <c r="X68" s="13" t="s">
        <v>45</v>
      </c>
      <c r="Y68" s="79" t="s">
        <v>327</v>
      </c>
      <c r="Z68" s="14">
        <f t="shared" si="14"/>
        <v>313.5</v>
      </c>
      <c r="AA68" s="14">
        <v>319</v>
      </c>
      <c r="AB68" s="14">
        <v>308</v>
      </c>
      <c r="AC68" s="9">
        <v>350</v>
      </c>
      <c r="AD68" s="9">
        <v>316</v>
      </c>
      <c r="AE68" s="9">
        <v>384</v>
      </c>
      <c r="AF68" s="61" t="s">
        <v>379</v>
      </c>
      <c r="AG68" s="61" t="s">
        <v>42</v>
      </c>
      <c r="AH68" s="13" t="s">
        <v>182</v>
      </c>
      <c r="AI68" s="29">
        <v>12.718992734525784</v>
      </c>
      <c r="AJ68" s="9"/>
      <c r="AK68" s="9"/>
      <c r="AL68" s="9">
        <v>222.8956866775346</v>
      </c>
      <c r="AM68" s="9">
        <v>181.6097640629192</v>
      </c>
      <c r="AN68" s="9">
        <v>264.66582139966408</v>
      </c>
      <c r="AQ68" s="79"/>
    </row>
    <row r="69" spans="1:43">
      <c r="A69" s="7" t="s">
        <v>69</v>
      </c>
      <c r="B69" s="72" t="s">
        <v>246</v>
      </c>
      <c r="C69" s="18">
        <f t="shared" si="13"/>
        <v>421.1</v>
      </c>
      <c r="D69" s="18">
        <v>423</v>
      </c>
      <c r="E69" s="18">
        <v>419.2</v>
      </c>
      <c r="F69" s="31">
        <f t="shared" si="15"/>
        <v>1440</v>
      </c>
      <c r="G69" s="31">
        <f t="shared" si="16"/>
        <v>1080</v>
      </c>
      <c r="H69" s="31">
        <f t="shared" si="17"/>
        <v>1800</v>
      </c>
      <c r="I69" s="63">
        <v>3600</v>
      </c>
      <c r="J69" s="63">
        <v>2700</v>
      </c>
      <c r="K69" s="61">
        <v>4500</v>
      </c>
      <c r="L69" s="61">
        <v>5000</v>
      </c>
      <c r="M69" s="31">
        <v>2000</v>
      </c>
      <c r="N69" s="61" t="s">
        <v>377</v>
      </c>
      <c r="O69" s="61" t="s">
        <v>42</v>
      </c>
      <c r="P69" s="13" t="s">
        <v>460</v>
      </c>
      <c r="Q69" s="101">
        <v>2.2968000000000002</v>
      </c>
      <c r="S69" s="30"/>
      <c r="T69" s="53">
        <v>337.39391325819116</v>
      </c>
      <c r="U69" s="103">
        <v>285.06986745984779</v>
      </c>
      <c r="V69" s="103">
        <v>449.58244613670774</v>
      </c>
      <c r="W69" s="61" t="s">
        <v>174</v>
      </c>
      <c r="X69" s="13" t="s">
        <v>45</v>
      </c>
      <c r="Y69" s="79" t="s">
        <v>327</v>
      </c>
      <c r="Z69" s="14">
        <f t="shared" si="14"/>
        <v>313.5</v>
      </c>
      <c r="AA69" s="14">
        <v>319</v>
      </c>
      <c r="AB69" s="14">
        <v>308</v>
      </c>
      <c r="AC69" s="9">
        <v>401</v>
      </c>
      <c r="AD69" s="9">
        <v>367</v>
      </c>
      <c r="AE69" s="9">
        <v>435</v>
      </c>
      <c r="AF69" s="61" t="s">
        <v>379</v>
      </c>
      <c r="AG69" s="61" t="s">
        <v>42</v>
      </c>
      <c r="AH69" s="13" t="s">
        <v>182</v>
      </c>
      <c r="AI69" s="29">
        <v>13.253186447311066</v>
      </c>
      <c r="AJ69" s="9"/>
      <c r="AK69" s="9"/>
      <c r="AL69" s="9">
        <v>244.05392067411836</v>
      </c>
      <c r="AM69" s="9">
        <v>198.3239004739695</v>
      </c>
      <c r="AN69" s="9">
        <v>290.61546631776207</v>
      </c>
      <c r="AQ69" s="79"/>
    </row>
    <row r="70" spans="1:43">
      <c r="A70" s="27" t="s">
        <v>81</v>
      </c>
      <c r="B70" s="74" t="s">
        <v>245</v>
      </c>
      <c r="C70" s="18">
        <f t="shared" si="13"/>
        <v>377.45</v>
      </c>
      <c r="D70" s="92">
        <v>382.7</v>
      </c>
      <c r="E70" s="92">
        <v>372.2</v>
      </c>
      <c r="F70" s="31">
        <f t="shared" si="15"/>
        <v>1120</v>
      </c>
      <c r="G70" s="31">
        <f t="shared" si="16"/>
        <v>920</v>
      </c>
      <c r="H70" s="31">
        <f t="shared" si="17"/>
        <v>1280</v>
      </c>
      <c r="I70" s="69">
        <v>2800</v>
      </c>
      <c r="J70" s="69">
        <v>2300</v>
      </c>
      <c r="K70" s="64">
        <v>3200</v>
      </c>
      <c r="L70" s="64">
        <v>5000</v>
      </c>
      <c r="M70" s="31">
        <v>2000</v>
      </c>
      <c r="N70" s="31"/>
      <c r="O70" s="61" t="s">
        <v>42</v>
      </c>
      <c r="P70" s="13" t="s">
        <v>460</v>
      </c>
      <c r="Q70" s="101">
        <v>2.4020000000000001</v>
      </c>
      <c r="S70" s="30"/>
      <c r="T70" s="53">
        <v>343.62569303184068</v>
      </c>
      <c r="U70" s="103">
        <v>288.00230129135764</v>
      </c>
      <c r="V70" s="103">
        <v>461.39752406893899</v>
      </c>
      <c r="W70" s="61" t="s">
        <v>174</v>
      </c>
      <c r="X70" s="13" t="s">
        <v>45</v>
      </c>
      <c r="Y70" s="79" t="s">
        <v>327</v>
      </c>
      <c r="Z70" s="14">
        <f t="shared" si="14"/>
        <v>313.5</v>
      </c>
      <c r="AA70" s="14">
        <v>319</v>
      </c>
      <c r="AB70" s="14">
        <v>308</v>
      </c>
      <c r="AC70" s="9">
        <v>287</v>
      </c>
      <c r="AD70" s="9">
        <v>254</v>
      </c>
      <c r="AE70" s="9">
        <v>320</v>
      </c>
      <c r="AF70" s="61" t="s">
        <v>379</v>
      </c>
      <c r="AG70" s="61" t="s">
        <v>42</v>
      </c>
      <c r="AH70" s="13" t="s">
        <v>182</v>
      </c>
      <c r="AI70" s="29">
        <v>13.476880582530896</v>
      </c>
      <c r="AJ70" s="9"/>
      <c r="AK70" s="9"/>
      <c r="AL70" s="9">
        <v>243.06417254220497</v>
      </c>
      <c r="AM70" s="9">
        <v>197.3261280373145</v>
      </c>
      <c r="AN70" s="9">
        <v>289.68550460147054</v>
      </c>
      <c r="AQ70" s="79"/>
    </row>
    <row r="71" spans="1:43">
      <c r="A71" s="27" t="s">
        <v>81</v>
      </c>
      <c r="B71" s="74" t="s">
        <v>244</v>
      </c>
      <c r="C71" s="18">
        <f t="shared" si="13"/>
        <v>385.2</v>
      </c>
      <c r="D71" s="92">
        <v>387.7</v>
      </c>
      <c r="E71" s="92">
        <v>382.7</v>
      </c>
      <c r="F71" s="31">
        <f t="shared" si="15"/>
        <v>1560</v>
      </c>
      <c r="G71" s="31">
        <f t="shared" si="16"/>
        <v>1160</v>
      </c>
      <c r="H71" s="31">
        <f t="shared" si="17"/>
        <v>2080</v>
      </c>
      <c r="I71" s="69">
        <v>3900</v>
      </c>
      <c r="J71" s="69">
        <v>2900</v>
      </c>
      <c r="K71" s="64">
        <v>5200</v>
      </c>
      <c r="L71" s="64">
        <v>5000</v>
      </c>
      <c r="M71" s="31">
        <v>2000</v>
      </c>
      <c r="N71" s="31"/>
      <c r="O71" s="61" t="s">
        <v>42</v>
      </c>
      <c r="P71" s="13" t="s">
        <v>460</v>
      </c>
      <c r="Q71" s="101">
        <v>2.5870000000000002</v>
      </c>
      <c r="S71" s="30"/>
      <c r="T71" s="53">
        <v>333.45190550532078</v>
      </c>
      <c r="U71" s="103">
        <v>280.45045078353616</v>
      </c>
      <c r="V71" s="103">
        <v>446.22705921978206</v>
      </c>
      <c r="W71" s="61" t="s">
        <v>174</v>
      </c>
      <c r="X71" s="13" t="s">
        <v>45</v>
      </c>
      <c r="Y71" s="79" t="s">
        <v>327</v>
      </c>
      <c r="Z71" s="14">
        <f t="shared" si="14"/>
        <v>313.5</v>
      </c>
      <c r="AA71" s="14">
        <v>319</v>
      </c>
      <c r="AB71" s="14">
        <v>308</v>
      </c>
      <c r="AC71" s="9">
        <v>311</v>
      </c>
      <c r="AD71" s="9">
        <v>278</v>
      </c>
      <c r="AE71" s="9">
        <v>344</v>
      </c>
      <c r="AF71" s="61" t="s">
        <v>379</v>
      </c>
      <c r="AG71" s="61" t="s">
        <v>42</v>
      </c>
      <c r="AH71" s="13" t="s">
        <v>182</v>
      </c>
      <c r="AI71" s="29">
        <v>13.715895441281248</v>
      </c>
      <c r="AJ71" s="9"/>
      <c r="AK71" s="9"/>
      <c r="AL71" s="9">
        <v>239.67548027471022</v>
      </c>
      <c r="AM71" s="9">
        <v>194.40856354355952</v>
      </c>
      <c r="AN71" s="9">
        <v>285.84320388345964</v>
      </c>
      <c r="AQ71" s="79"/>
    </row>
    <row r="72" spans="1:43">
      <c r="A72" s="16" t="s">
        <v>39</v>
      </c>
      <c r="B72" s="60" t="s">
        <v>247</v>
      </c>
      <c r="C72" s="14">
        <f>53.4+O72</f>
        <v>54.165999999999997</v>
      </c>
      <c r="D72" s="14">
        <f>53.7+O72</f>
        <v>54.466000000000001</v>
      </c>
      <c r="E72" s="14">
        <f>53.1+O72</f>
        <v>53.866</v>
      </c>
      <c r="F72" s="31">
        <f t="shared" si="15"/>
        <v>813.6</v>
      </c>
      <c r="G72" s="31">
        <f t="shared" si="16"/>
        <v>573.6</v>
      </c>
      <c r="H72" s="31">
        <f t="shared" si="17"/>
        <v>1053.5999999999999</v>
      </c>
      <c r="I72" s="63">
        <v>2034</v>
      </c>
      <c r="J72" s="61">
        <v>1434</v>
      </c>
      <c r="K72" s="61">
        <v>2634</v>
      </c>
      <c r="L72" s="61">
        <v>5000</v>
      </c>
      <c r="M72" s="31">
        <v>2000</v>
      </c>
      <c r="N72" s="50" t="s">
        <v>403</v>
      </c>
      <c r="O72" s="9">
        <v>0.76600000000000001</v>
      </c>
      <c r="P72" s="13" t="s">
        <v>460</v>
      </c>
      <c r="Q72" s="101">
        <v>2.6043000000000003</v>
      </c>
      <c r="S72" s="30"/>
      <c r="T72" s="53">
        <v>305.06301810297037</v>
      </c>
      <c r="U72" s="103">
        <v>255.17705015959862</v>
      </c>
      <c r="V72" s="103">
        <v>410.20269702016742</v>
      </c>
      <c r="W72" s="61" t="s">
        <v>174</v>
      </c>
      <c r="X72" s="13" t="s">
        <v>45</v>
      </c>
      <c r="Y72" s="79" t="s">
        <v>327</v>
      </c>
      <c r="Z72" s="14">
        <f t="shared" si="14"/>
        <v>313.5</v>
      </c>
      <c r="AA72" s="14">
        <v>319</v>
      </c>
      <c r="AB72" s="14">
        <v>308</v>
      </c>
      <c r="AC72" s="9">
        <v>284</v>
      </c>
      <c r="AD72" s="9">
        <v>253</v>
      </c>
      <c r="AE72" s="9">
        <v>315</v>
      </c>
      <c r="AF72" s="61" t="s">
        <v>379</v>
      </c>
      <c r="AG72" s="61" t="s">
        <v>42</v>
      </c>
      <c r="AH72" s="13" t="s">
        <v>182</v>
      </c>
      <c r="AI72" s="29">
        <v>13.832815287211474</v>
      </c>
      <c r="AJ72" s="9"/>
      <c r="AK72" s="9"/>
      <c r="AL72" s="9">
        <v>257.19365408006428</v>
      </c>
      <c r="AM72" s="9">
        <v>208.62057389009613</v>
      </c>
      <c r="AN72" s="9">
        <v>306.84092393525526</v>
      </c>
      <c r="AQ72" s="79"/>
    </row>
    <row r="73" spans="1:43">
      <c r="A73" s="16" t="s">
        <v>39</v>
      </c>
      <c r="B73" s="60" t="s">
        <v>247</v>
      </c>
      <c r="C73" s="14">
        <f>54.09+O72</f>
        <v>54.856000000000002</v>
      </c>
      <c r="D73" s="14">
        <f>C73+0.3+O72</f>
        <v>55.921999999999997</v>
      </c>
      <c r="E73" s="14">
        <f>C73-0.3+O72</f>
        <v>55.322000000000003</v>
      </c>
      <c r="F73" s="31">
        <f t="shared" si="15"/>
        <v>230.8</v>
      </c>
      <c r="G73" s="31">
        <f t="shared" si="16"/>
        <v>70.8</v>
      </c>
      <c r="H73" s="31">
        <f t="shared" si="17"/>
        <v>390.8</v>
      </c>
      <c r="I73" s="63">
        <v>577</v>
      </c>
      <c r="J73" s="61">
        <v>177</v>
      </c>
      <c r="K73" s="61">
        <v>977</v>
      </c>
      <c r="L73" s="61">
        <v>5000</v>
      </c>
      <c r="M73" s="31">
        <v>2000</v>
      </c>
      <c r="N73" s="50" t="s">
        <v>403</v>
      </c>
      <c r="O73" s="61" t="s">
        <v>42</v>
      </c>
      <c r="P73" s="13" t="s">
        <v>460</v>
      </c>
      <c r="Q73" s="101">
        <v>2.718</v>
      </c>
      <c r="S73" s="30"/>
      <c r="T73" s="53">
        <v>316.51165535199783</v>
      </c>
      <c r="U73" s="103">
        <v>265.74735705502354</v>
      </c>
      <c r="V73" s="103">
        <v>424.15486000999516</v>
      </c>
      <c r="W73" s="61" t="s">
        <v>174</v>
      </c>
      <c r="X73" s="13" t="s">
        <v>45</v>
      </c>
      <c r="Y73" s="79" t="s">
        <v>327</v>
      </c>
      <c r="Z73" s="14">
        <f t="shared" si="14"/>
        <v>313.5</v>
      </c>
      <c r="AA73" s="14">
        <v>319</v>
      </c>
      <c r="AB73" s="14">
        <v>308</v>
      </c>
      <c r="AC73" s="9">
        <v>325</v>
      </c>
      <c r="AD73" s="9">
        <v>294</v>
      </c>
      <c r="AE73" s="9">
        <v>356</v>
      </c>
      <c r="AF73" s="61" t="s">
        <v>379</v>
      </c>
      <c r="AG73" s="61" t="s">
        <v>42</v>
      </c>
      <c r="AH73" s="13" t="s">
        <v>182</v>
      </c>
      <c r="AI73" s="29">
        <v>14.170855946118536</v>
      </c>
      <c r="AJ73" s="9"/>
      <c r="AK73" s="9"/>
      <c r="AL73" s="9">
        <v>267.83584622913372</v>
      </c>
      <c r="AM73" s="9">
        <v>215.87999146757613</v>
      </c>
      <c r="AN73" s="9">
        <v>321.55798928580623</v>
      </c>
      <c r="AQ73" s="79"/>
    </row>
    <row r="74" spans="1:43">
      <c r="A74" s="16" t="s">
        <v>39</v>
      </c>
      <c r="B74" s="60" t="s">
        <v>248</v>
      </c>
      <c r="C74" s="14">
        <f>55.4+O72</f>
        <v>56.165999999999997</v>
      </c>
      <c r="D74" s="14">
        <f>C74+0.3+O72</f>
        <v>57.231999999999992</v>
      </c>
      <c r="E74" s="14">
        <f>C74-0.3+O72</f>
        <v>56.631999999999998</v>
      </c>
      <c r="F74" s="31">
        <f t="shared" si="15"/>
        <v>460.8</v>
      </c>
      <c r="G74" s="31">
        <f t="shared" si="16"/>
        <v>260.8</v>
      </c>
      <c r="H74" s="31">
        <f t="shared" si="17"/>
        <v>660.8</v>
      </c>
      <c r="I74" s="63">
        <v>1152</v>
      </c>
      <c r="J74" s="61">
        <v>652</v>
      </c>
      <c r="K74" s="61">
        <v>1652</v>
      </c>
      <c r="L74" s="61">
        <v>5000</v>
      </c>
      <c r="M74" s="31">
        <v>2000</v>
      </c>
      <c r="N74" s="50" t="s">
        <v>403</v>
      </c>
      <c r="O74" s="61" t="s">
        <v>42</v>
      </c>
      <c r="P74" s="13" t="s">
        <v>460</v>
      </c>
      <c r="Q74" s="101">
        <v>2.94</v>
      </c>
      <c r="S74" s="30"/>
      <c r="T74" s="53">
        <v>307.31549200667848</v>
      </c>
      <c r="U74" s="103">
        <v>261.35974925398676</v>
      </c>
      <c r="V74" s="103">
        <v>406.86218572671839</v>
      </c>
      <c r="W74" s="61" t="s">
        <v>174</v>
      </c>
      <c r="X74" s="13" t="s">
        <v>45</v>
      </c>
      <c r="Y74" s="79" t="s">
        <v>328</v>
      </c>
      <c r="Z74" s="14">
        <f t="shared" si="14"/>
        <v>324</v>
      </c>
      <c r="AA74" s="14">
        <v>329</v>
      </c>
      <c r="AB74" s="14">
        <v>319</v>
      </c>
      <c r="AC74" s="9">
        <v>385</v>
      </c>
      <c r="AD74" s="9">
        <v>351</v>
      </c>
      <c r="AE74" s="9">
        <v>419</v>
      </c>
      <c r="AF74" s="61" t="s">
        <v>379</v>
      </c>
      <c r="AG74" s="61" t="s">
        <v>42</v>
      </c>
      <c r="AH74" s="13" t="s">
        <v>182</v>
      </c>
      <c r="AI74" s="29">
        <v>14.310722830004011</v>
      </c>
      <c r="AL74" s="9">
        <v>272.40631642331533</v>
      </c>
      <c r="AM74" s="9">
        <v>221.29692880849313</v>
      </c>
      <c r="AN74" s="9">
        <v>324.66967519222129</v>
      </c>
      <c r="AQ74" s="79"/>
    </row>
    <row r="75" spans="1:43">
      <c r="A75" s="16" t="s">
        <v>39</v>
      </c>
      <c r="B75" s="60" t="s">
        <v>248</v>
      </c>
      <c r="C75" s="14">
        <f>55.725+O72</f>
        <v>56.491</v>
      </c>
      <c r="D75" s="14">
        <f>C75+0.3+O72</f>
        <v>57.556999999999995</v>
      </c>
      <c r="E75" s="14">
        <f>C75-0.3+O72</f>
        <v>56.957000000000001</v>
      </c>
      <c r="F75" s="31">
        <f t="shared" si="15"/>
        <v>486.8</v>
      </c>
      <c r="G75" s="31">
        <f t="shared" si="16"/>
        <v>290.8</v>
      </c>
      <c r="H75" s="31">
        <f t="shared" si="17"/>
        <v>686.8</v>
      </c>
      <c r="I75" s="61">
        <v>1217</v>
      </c>
      <c r="J75" s="61">
        <v>727</v>
      </c>
      <c r="K75" s="61">
        <v>1717</v>
      </c>
      <c r="L75" s="61">
        <v>5000</v>
      </c>
      <c r="M75" s="31">
        <v>2000</v>
      </c>
      <c r="N75" s="50" t="s">
        <v>403</v>
      </c>
      <c r="O75" s="61" t="s">
        <v>42</v>
      </c>
      <c r="P75" s="13" t="s">
        <v>460</v>
      </c>
      <c r="Q75" s="101">
        <v>3.0819999999999999</v>
      </c>
      <c r="S75" s="30"/>
      <c r="T75" s="53">
        <v>338.05241393484636</v>
      </c>
      <c r="U75" s="103">
        <v>289.80788826007733</v>
      </c>
      <c r="V75" s="103">
        <v>444.30346763590376</v>
      </c>
      <c r="W75" s="61" t="s">
        <v>174</v>
      </c>
      <c r="X75" s="13" t="s">
        <v>45</v>
      </c>
      <c r="Y75" s="79" t="s">
        <v>328</v>
      </c>
      <c r="Z75" s="14">
        <f t="shared" si="14"/>
        <v>324</v>
      </c>
      <c r="AA75" s="14">
        <v>329</v>
      </c>
      <c r="AB75" s="14">
        <v>319</v>
      </c>
      <c r="AC75" s="9">
        <v>392</v>
      </c>
      <c r="AD75" s="9">
        <v>359</v>
      </c>
      <c r="AE75" s="9">
        <v>425</v>
      </c>
      <c r="AF75" s="61" t="s">
        <v>379</v>
      </c>
      <c r="AG75" s="61" t="s">
        <v>42</v>
      </c>
      <c r="AH75" s="13" t="s">
        <v>182</v>
      </c>
      <c r="AI75" s="29">
        <v>14.796017762977385</v>
      </c>
      <c r="AJ75" s="9"/>
      <c r="AK75" s="9"/>
      <c r="AL75" s="9">
        <v>374.37417694733494</v>
      </c>
      <c r="AM75" s="9">
        <v>298.03383555389286</v>
      </c>
      <c r="AN75" s="9">
        <v>456.34211094854305</v>
      </c>
      <c r="AQ75" s="79"/>
    </row>
    <row r="76" spans="1:43">
      <c r="A76" s="16" t="s">
        <v>39</v>
      </c>
      <c r="B76" s="60" t="s">
        <v>248</v>
      </c>
      <c r="C76" s="14">
        <f>55.943+O72</f>
        <v>56.708999999999996</v>
      </c>
      <c r="D76" s="14">
        <f>C76+0.3+O72</f>
        <v>57.774999999999991</v>
      </c>
      <c r="E76" s="14">
        <f>C76-0.3+O72</f>
        <v>57.174999999999997</v>
      </c>
      <c r="F76" s="31">
        <f t="shared" si="15"/>
        <v>579.20000000000005</v>
      </c>
      <c r="G76" s="31">
        <f t="shared" si="16"/>
        <v>379.2</v>
      </c>
      <c r="H76" s="31">
        <f t="shared" si="17"/>
        <v>779.2</v>
      </c>
      <c r="I76" s="61">
        <v>1448</v>
      </c>
      <c r="J76" s="61">
        <v>948</v>
      </c>
      <c r="K76" s="61">
        <v>1948</v>
      </c>
      <c r="L76" s="61">
        <v>5000</v>
      </c>
      <c r="M76" s="31">
        <v>2000</v>
      </c>
      <c r="N76" s="50" t="s">
        <v>403</v>
      </c>
      <c r="O76" s="61" t="s">
        <v>42</v>
      </c>
      <c r="P76" s="13" t="s">
        <v>460</v>
      </c>
      <c r="Q76" s="101">
        <v>3.1313</v>
      </c>
      <c r="S76" s="30"/>
      <c r="T76" s="53">
        <v>317.74730469243286</v>
      </c>
      <c r="U76" s="103">
        <v>265.32845178669163</v>
      </c>
      <c r="V76" s="103">
        <v>427.98943811200655</v>
      </c>
      <c r="W76" s="61" t="s">
        <v>174</v>
      </c>
      <c r="X76" s="13" t="s">
        <v>45</v>
      </c>
      <c r="Y76" s="79" t="s">
        <v>328</v>
      </c>
      <c r="Z76" s="14">
        <f t="shared" si="14"/>
        <v>324</v>
      </c>
      <c r="AA76" s="14">
        <v>329</v>
      </c>
      <c r="AB76" s="14">
        <v>319</v>
      </c>
      <c r="AC76" s="9">
        <v>359</v>
      </c>
      <c r="AD76" s="9">
        <v>327</v>
      </c>
      <c r="AE76" s="9">
        <v>391</v>
      </c>
      <c r="AF76" s="61" t="s">
        <v>379</v>
      </c>
      <c r="AG76" s="61" t="s">
        <v>42</v>
      </c>
      <c r="AH76" s="13" t="s">
        <v>182</v>
      </c>
      <c r="AI76" s="29">
        <v>15.03723343470142</v>
      </c>
      <c r="AJ76" s="9"/>
      <c r="AK76" s="9"/>
      <c r="AL76" s="9">
        <v>331.97332559905652</v>
      </c>
      <c r="AM76" s="9">
        <v>262.84778294115944</v>
      </c>
      <c r="AN76" s="9">
        <v>406.6282817314634</v>
      </c>
      <c r="AQ76" s="79"/>
    </row>
    <row r="77" spans="1:43">
      <c r="A77" s="16" t="s">
        <v>39</v>
      </c>
      <c r="B77" s="60" t="s">
        <v>248</v>
      </c>
      <c r="C77" s="14">
        <f>56.543+O72</f>
        <v>57.308999999999997</v>
      </c>
      <c r="D77" s="14">
        <f>C77+0.3+O72</f>
        <v>58.374999999999993</v>
      </c>
      <c r="E77" s="14">
        <f>C77-0.3+O72</f>
        <v>57.774999999999999</v>
      </c>
      <c r="F77" s="31">
        <f t="shared" si="15"/>
        <v>816.4</v>
      </c>
      <c r="G77" s="31">
        <f t="shared" si="16"/>
        <v>576.4</v>
      </c>
      <c r="H77" s="31">
        <f t="shared" si="17"/>
        <v>1056.4000000000001</v>
      </c>
      <c r="I77" s="61">
        <v>2041</v>
      </c>
      <c r="J77" s="61">
        <v>1441</v>
      </c>
      <c r="K77" s="61">
        <v>2641</v>
      </c>
      <c r="L77" s="61">
        <v>5000</v>
      </c>
      <c r="M77" s="31">
        <v>2000</v>
      </c>
      <c r="N77" s="50" t="s">
        <v>403</v>
      </c>
      <c r="O77" s="61" t="s">
        <v>42</v>
      </c>
      <c r="P77" s="13" t="s">
        <v>460</v>
      </c>
      <c r="Q77" s="101">
        <v>3.3210000000000002</v>
      </c>
      <c r="S77" s="30"/>
      <c r="T77" s="53">
        <v>335.87349300605774</v>
      </c>
      <c r="U77" s="103">
        <v>291.09683182172552</v>
      </c>
      <c r="V77" s="103">
        <v>436.86723445507261</v>
      </c>
      <c r="W77" s="61" t="s">
        <v>174</v>
      </c>
      <c r="X77" s="13" t="s">
        <v>68</v>
      </c>
      <c r="Y77" s="79" t="s">
        <v>290</v>
      </c>
      <c r="Z77" s="14">
        <f t="shared" si="14"/>
        <v>168.39999999999998</v>
      </c>
      <c r="AA77" s="14">
        <v>175.6</v>
      </c>
      <c r="AB77" s="14">
        <v>161.19999999999999</v>
      </c>
      <c r="AC77" s="9">
        <v>815.8260233918129</v>
      </c>
      <c r="AD77" s="9">
        <v>543.88401559454189</v>
      </c>
      <c r="AE77" s="9">
        <v>1087.7680311890838</v>
      </c>
      <c r="AF77" s="50" t="s">
        <v>118</v>
      </c>
      <c r="AG77" s="61" t="s">
        <v>42</v>
      </c>
      <c r="AH77" s="13" t="s">
        <v>182</v>
      </c>
      <c r="AI77" s="29">
        <v>15.559880621707975</v>
      </c>
      <c r="AL77" s="9">
        <v>298.25886108850079</v>
      </c>
      <c r="AM77" s="9">
        <v>241.34912978346915</v>
      </c>
      <c r="AN77" s="9">
        <v>356.9320848021103</v>
      </c>
      <c r="AQ77" s="79"/>
    </row>
    <row r="78" spans="1:43">
      <c r="A78" s="16" t="s">
        <v>39</v>
      </c>
      <c r="B78" s="60" t="s">
        <v>248</v>
      </c>
      <c r="C78" s="14">
        <f>56.954+O72</f>
        <v>57.72</v>
      </c>
      <c r="D78" s="14">
        <f>C78+0.3+O72</f>
        <v>58.785999999999994</v>
      </c>
      <c r="E78" s="14">
        <f>C78-0.3+O72</f>
        <v>58.186</v>
      </c>
      <c r="F78" s="31">
        <f t="shared" si="15"/>
        <v>474</v>
      </c>
      <c r="G78" s="31">
        <f t="shared" si="16"/>
        <v>274</v>
      </c>
      <c r="H78" s="31">
        <f t="shared" si="17"/>
        <v>674</v>
      </c>
      <c r="I78" s="61">
        <v>1185</v>
      </c>
      <c r="J78" s="61">
        <v>685</v>
      </c>
      <c r="K78" s="61">
        <v>1685</v>
      </c>
      <c r="L78" s="61">
        <v>5000</v>
      </c>
      <c r="M78" s="31">
        <v>2000</v>
      </c>
      <c r="N78" s="50" t="s">
        <v>403</v>
      </c>
      <c r="O78" s="61" t="s">
        <v>42</v>
      </c>
      <c r="P78" s="13" t="s">
        <v>460</v>
      </c>
      <c r="Q78" s="101">
        <v>3.3639999999999999</v>
      </c>
      <c r="S78" s="30"/>
      <c r="T78" s="53">
        <v>320.96523178462195</v>
      </c>
      <c r="U78" s="103">
        <v>278.18820391404176</v>
      </c>
      <c r="V78" s="103">
        <v>417.43690745368781</v>
      </c>
      <c r="W78" s="61" t="s">
        <v>174</v>
      </c>
      <c r="X78" s="13" t="s">
        <v>131</v>
      </c>
      <c r="Y78" s="79" t="s">
        <v>323</v>
      </c>
      <c r="Z78" s="14">
        <f t="shared" si="14"/>
        <v>63.8</v>
      </c>
      <c r="AA78" s="14">
        <v>66</v>
      </c>
      <c r="AB78" s="14">
        <v>61.6</v>
      </c>
      <c r="AC78" s="50">
        <v>366.85500000000002</v>
      </c>
      <c r="AD78" s="50">
        <v>324.40100000000001</v>
      </c>
      <c r="AE78" s="50">
        <v>706.59500000000003</v>
      </c>
      <c r="AF78" s="50" t="s">
        <v>376</v>
      </c>
      <c r="AG78" s="61" t="s">
        <v>42</v>
      </c>
      <c r="AH78" s="13" t="s">
        <v>182</v>
      </c>
      <c r="AI78" s="29">
        <v>15.865971446912226</v>
      </c>
      <c r="AJ78" s="9"/>
      <c r="AK78" s="9"/>
      <c r="AL78" s="9">
        <v>392.46762158710231</v>
      </c>
      <c r="AM78" s="9">
        <v>308.95299481121197</v>
      </c>
      <c r="AN78" s="9">
        <v>484.33481913257287</v>
      </c>
      <c r="AQ78" s="79"/>
    </row>
    <row r="79" spans="1:43">
      <c r="A79" s="16" t="s">
        <v>46</v>
      </c>
      <c r="B79" s="60" t="s">
        <v>249</v>
      </c>
      <c r="C79" s="18">
        <f t="shared" ref="C79:C87" si="18">AVERAGE(D79:E79)</f>
        <v>200.3</v>
      </c>
      <c r="D79" s="14">
        <v>201.3</v>
      </c>
      <c r="E79" s="14">
        <v>199.3</v>
      </c>
      <c r="F79" s="31">
        <f t="shared" si="15"/>
        <v>992</v>
      </c>
      <c r="G79" s="31">
        <f t="shared" si="16"/>
        <v>596</v>
      </c>
      <c r="H79" s="31">
        <f t="shared" si="17"/>
        <v>1388</v>
      </c>
      <c r="I79" s="61">
        <v>2480</v>
      </c>
      <c r="J79" s="61">
        <v>1490</v>
      </c>
      <c r="K79" s="61">
        <v>3470</v>
      </c>
      <c r="L79" s="61">
        <v>5000</v>
      </c>
      <c r="M79" s="31">
        <v>2000</v>
      </c>
      <c r="N79" s="31"/>
      <c r="O79" s="61" t="s">
        <v>42</v>
      </c>
      <c r="P79" s="13" t="s">
        <v>460</v>
      </c>
      <c r="Q79" s="101">
        <v>3.4569999999999999</v>
      </c>
      <c r="S79" s="30"/>
      <c r="T79" s="53">
        <v>339.24980379746347</v>
      </c>
      <c r="U79" s="103">
        <v>299.10693147082588</v>
      </c>
      <c r="V79" s="103">
        <v>434.05570774099255</v>
      </c>
      <c r="W79" s="61" t="s">
        <v>174</v>
      </c>
      <c r="X79" s="13" t="s">
        <v>131</v>
      </c>
      <c r="Y79" s="79" t="s">
        <v>322</v>
      </c>
      <c r="Z79" s="14">
        <v>64.13</v>
      </c>
      <c r="AA79" s="14">
        <f>Z79+0.21</f>
        <v>64.339999999999989</v>
      </c>
      <c r="AB79" s="14">
        <f>Z79-0.21</f>
        <v>63.919999999999995</v>
      </c>
      <c r="AC79" s="50">
        <v>330.32400000000001</v>
      </c>
      <c r="AD79" s="50">
        <v>317.48899999999998</v>
      </c>
      <c r="AE79" s="50">
        <v>448.29399999999998</v>
      </c>
      <c r="AF79" s="50" t="s">
        <v>376</v>
      </c>
      <c r="AG79" s="61" t="s">
        <v>42</v>
      </c>
      <c r="AH79" s="13" t="s">
        <v>182</v>
      </c>
      <c r="AI79" s="29">
        <v>16.382378963233123</v>
      </c>
      <c r="AJ79" s="9"/>
      <c r="AK79" s="9"/>
      <c r="AL79" s="9">
        <v>224.75257648042239</v>
      </c>
      <c r="AM79" s="9">
        <v>182.44686263365617</v>
      </c>
      <c r="AN79" s="9">
        <v>267.75463725119823</v>
      </c>
      <c r="AQ79" s="79"/>
    </row>
    <row r="80" spans="1:43">
      <c r="A80" s="16" t="s">
        <v>46</v>
      </c>
      <c r="B80" s="60" t="s">
        <v>213</v>
      </c>
      <c r="C80" s="18">
        <f t="shared" si="18"/>
        <v>223.25</v>
      </c>
      <c r="D80" s="18">
        <v>237</v>
      </c>
      <c r="E80" s="18">
        <v>209.5</v>
      </c>
      <c r="F80" s="31">
        <f t="shared" si="15"/>
        <v>900</v>
      </c>
      <c r="G80" s="31">
        <f t="shared" si="16"/>
        <v>540</v>
      </c>
      <c r="H80" s="31">
        <f t="shared" si="17"/>
        <v>1260</v>
      </c>
      <c r="I80" s="61">
        <v>2250</v>
      </c>
      <c r="J80" s="61">
        <v>1350</v>
      </c>
      <c r="K80" s="61">
        <v>3150</v>
      </c>
      <c r="L80" s="61">
        <v>5000</v>
      </c>
      <c r="M80" s="31">
        <v>2000</v>
      </c>
      <c r="N80" s="31"/>
      <c r="O80" s="61" t="s">
        <v>42</v>
      </c>
      <c r="P80" s="13" t="s">
        <v>460</v>
      </c>
      <c r="Q80" s="102">
        <v>3.51</v>
      </c>
      <c r="S80" s="30"/>
      <c r="T80" s="53">
        <v>393.11817513045088</v>
      </c>
      <c r="U80" s="103">
        <v>340.06840178718659</v>
      </c>
      <c r="V80" s="103">
        <v>512.42744342456911</v>
      </c>
      <c r="W80" s="61" t="s">
        <v>174</v>
      </c>
      <c r="X80" s="13" t="s">
        <v>131</v>
      </c>
      <c r="Y80" s="79" t="s">
        <v>321</v>
      </c>
      <c r="Z80" s="14">
        <f>AVERAGE(AA80:AB80)</f>
        <v>65.375</v>
      </c>
      <c r="AA80" s="14">
        <v>66</v>
      </c>
      <c r="AB80" s="14">
        <v>64.75</v>
      </c>
      <c r="AC80" s="50">
        <v>343.15899999999999</v>
      </c>
      <c r="AD80" s="50">
        <v>323.41000000000003</v>
      </c>
      <c r="AE80" s="50">
        <v>672.92</v>
      </c>
      <c r="AF80" s="50" t="s">
        <v>376</v>
      </c>
      <c r="AG80" s="61" t="s">
        <v>42</v>
      </c>
      <c r="AH80" s="13" t="s">
        <v>182</v>
      </c>
      <c r="AI80" s="29">
        <v>11.8</v>
      </c>
      <c r="AJ80" s="9"/>
      <c r="AK80" s="9"/>
      <c r="AL80" s="9">
        <v>247.47625333262442</v>
      </c>
      <c r="AM80" s="9">
        <v>201.91710783052679</v>
      </c>
      <c r="AN80" s="9">
        <v>293.68292205187862</v>
      </c>
      <c r="AQ80" s="79"/>
    </row>
    <row r="81" spans="1:43">
      <c r="A81" s="16" t="s">
        <v>43</v>
      </c>
      <c r="B81" s="60" t="s">
        <v>250</v>
      </c>
      <c r="C81" s="18">
        <f t="shared" si="18"/>
        <v>130.10000000000002</v>
      </c>
      <c r="D81" s="14">
        <v>130.80000000000001</v>
      </c>
      <c r="E81" s="14">
        <v>129.4</v>
      </c>
      <c r="F81" s="31">
        <f t="shared" si="15"/>
        <v>112</v>
      </c>
      <c r="G81" s="31">
        <f t="shared" si="16"/>
        <v>48.8</v>
      </c>
      <c r="H81" s="31">
        <f t="shared" si="17"/>
        <v>179</v>
      </c>
      <c r="I81" s="61">
        <v>560</v>
      </c>
      <c r="J81" s="61">
        <v>244</v>
      </c>
      <c r="K81" s="61">
        <v>895</v>
      </c>
      <c r="L81" s="61">
        <v>10000</v>
      </c>
      <c r="M81" s="31">
        <v>2000</v>
      </c>
      <c r="N81" s="31"/>
      <c r="O81" s="61" t="s">
        <v>42</v>
      </c>
      <c r="P81" s="13" t="s">
        <v>460</v>
      </c>
      <c r="Q81" s="101">
        <v>3.5219999999999998</v>
      </c>
      <c r="S81" s="30"/>
      <c r="T81" s="53">
        <v>345.72211115553478</v>
      </c>
      <c r="U81" s="103">
        <v>302.72380747946818</v>
      </c>
      <c r="V81" s="103">
        <v>445.2933591015306</v>
      </c>
      <c r="W81" s="61" t="s">
        <v>174</v>
      </c>
      <c r="X81" s="13" t="s">
        <v>131</v>
      </c>
      <c r="Y81" s="79" t="s">
        <v>319</v>
      </c>
      <c r="Z81" s="14">
        <f>AVERAGE(AA81:AB81)</f>
        <v>65.375</v>
      </c>
      <c r="AA81" s="14">
        <v>66</v>
      </c>
      <c r="AB81" s="14">
        <v>64.75</v>
      </c>
      <c r="AC81" s="50">
        <v>469.53</v>
      </c>
      <c r="AD81" s="50">
        <v>327.36</v>
      </c>
      <c r="AE81" s="50">
        <v>756.84</v>
      </c>
      <c r="AF81" s="50" t="s">
        <v>376</v>
      </c>
      <c r="AG81" s="61" t="s">
        <v>42</v>
      </c>
      <c r="AH81" s="13" t="s">
        <v>182</v>
      </c>
      <c r="AI81" s="29">
        <v>13.6</v>
      </c>
      <c r="AJ81" s="9"/>
      <c r="AK81" s="9"/>
      <c r="AL81" s="9">
        <v>231.93419016012376</v>
      </c>
      <c r="AM81" s="9">
        <v>189.08829613412513</v>
      </c>
      <c r="AN81" s="9">
        <v>275.31868623578958</v>
      </c>
      <c r="AQ81" s="79"/>
    </row>
    <row r="82" spans="1:43">
      <c r="A82" s="16" t="s">
        <v>44</v>
      </c>
      <c r="B82" s="60" t="s">
        <v>255</v>
      </c>
      <c r="C82" s="28">
        <f t="shared" si="18"/>
        <v>64.814999999999998</v>
      </c>
      <c r="D82" s="28">
        <v>64.959999999999994</v>
      </c>
      <c r="E82" s="28">
        <f>D82-0.29</f>
        <v>64.669999999999987</v>
      </c>
      <c r="F82" s="31">
        <f t="shared" si="15"/>
        <v>400</v>
      </c>
      <c r="G82" s="31">
        <f t="shared" si="16"/>
        <v>320</v>
      </c>
      <c r="H82" s="31">
        <f t="shared" si="17"/>
        <v>480</v>
      </c>
      <c r="I82" s="21">
        <v>1000</v>
      </c>
      <c r="J82" s="61">
        <v>800</v>
      </c>
      <c r="K82" s="61">
        <v>1200</v>
      </c>
      <c r="L82" s="61">
        <v>5000</v>
      </c>
      <c r="M82" s="31">
        <v>2000</v>
      </c>
      <c r="N82" s="31"/>
      <c r="O82" s="61" t="s">
        <v>42</v>
      </c>
      <c r="P82" s="13" t="s">
        <v>460</v>
      </c>
      <c r="Q82" s="101">
        <v>3.673</v>
      </c>
      <c r="S82" s="30"/>
      <c r="T82" s="53">
        <v>345.89688180139893</v>
      </c>
      <c r="U82" s="103">
        <v>309.23365737393158</v>
      </c>
      <c r="V82" s="103">
        <v>436.64454096868451</v>
      </c>
      <c r="W82" s="61" t="s">
        <v>174</v>
      </c>
      <c r="X82" s="13" t="s">
        <v>131</v>
      </c>
      <c r="Y82" s="79" t="s">
        <v>320</v>
      </c>
      <c r="Z82" s="14">
        <v>66.5</v>
      </c>
      <c r="AA82" s="14">
        <f>Z82+0.5</f>
        <v>67</v>
      </c>
      <c r="AB82" s="14">
        <f>Z82-0.5</f>
        <v>66</v>
      </c>
      <c r="AC82" s="50">
        <v>538.64599999999996</v>
      </c>
      <c r="AD82" s="50">
        <v>340.197</v>
      </c>
      <c r="AE82" s="50">
        <v>785.59199999999998</v>
      </c>
      <c r="AF82" s="50" t="s">
        <v>376</v>
      </c>
      <c r="AG82" s="61" t="s">
        <v>42</v>
      </c>
      <c r="AH82" s="13" t="s">
        <v>182</v>
      </c>
      <c r="AI82" s="29">
        <v>14.94</v>
      </c>
      <c r="AJ82" s="9"/>
      <c r="AK82" s="9"/>
      <c r="AL82" s="9">
        <v>345.77966254247997</v>
      </c>
      <c r="AM82" s="9">
        <v>282.55754884021957</v>
      </c>
      <c r="AN82" s="9">
        <v>410.32485252464295</v>
      </c>
      <c r="AQ82" s="79"/>
    </row>
    <row r="83" spans="1:43">
      <c r="A83" s="16" t="s">
        <v>44</v>
      </c>
      <c r="B83" s="60" t="s">
        <v>254</v>
      </c>
      <c r="C83" s="28">
        <f t="shared" si="18"/>
        <v>65.324999999999989</v>
      </c>
      <c r="D83" s="28">
        <v>65.69</v>
      </c>
      <c r="E83" s="28">
        <f>D83-0.73</f>
        <v>64.959999999999994</v>
      </c>
      <c r="F83" s="31">
        <f t="shared" si="15"/>
        <v>340</v>
      </c>
      <c r="G83" s="31">
        <f t="shared" si="16"/>
        <v>280</v>
      </c>
      <c r="H83" s="31">
        <f t="shared" si="17"/>
        <v>400</v>
      </c>
      <c r="I83" s="21">
        <v>850</v>
      </c>
      <c r="J83" s="61">
        <v>700</v>
      </c>
      <c r="K83" s="61">
        <v>1000</v>
      </c>
      <c r="L83" s="61">
        <v>5000</v>
      </c>
      <c r="M83" s="31">
        <v>2000</v>
      </c>
      <c r="N83" s="31"/>
      <c r="O83" s="61" t="s">
        <v>42</v>
      </c>
      <c r="P83" s="13" t="s">
        <v>460</v>
      </c>
      <c r="Q83" s="101">
        <v>3.8485</v>
      </c>
      <c r="S83" s="30"/>
      <c r="T83" s="53">
        <v>326.63287118311763</v>
      </c>
      <c r="U83" s="103">
        <v>290.98515994967516</v>
      </c>
      <c r="V83" s="103">
        <v>413.72135838471871</v>
      </c>
      <c r="W83" s="61" t="s">
        <v>174</v>
      </c>
      <c r="X83" s="13" t="s">
        <v>132</v>
      </c>
      <c r="Y83" s="79" t="s">
        <v>318</v>
      </c>
      <c r="Z83" s="14">
        <f>54.09+0.2</f>
        <v>54.290000000000006</v>
      </c>
      <c r="AA83" s="14">
        <f>Z83+0.1</f>
        <v>54.390000000000008</v>
      </c>
      <c r="AB83" s="14">
        <f>Z83-0.1</f>
        <v>54.190000000000005</v>
      </c>
      <c r="AC83" s="50">
        <v>514.95100000000002</v>
      </c>
      <c r="AD83" s="50">
        <v>341.185</v>
      </c>
      <c r="AE83" s="50">
        <v>774.87800000000004</v>
      </c>
      <c r="AF83" s="50" t="s">
        <v>118</v>
      </c>
      <c r="AG83" s="61" t="s">
        <v>42</v>
      </c>
      <c r="AH83" s="13" t="s">
        <v>456</v>
      </c>
      <c r="AI83" s="29">
        <v>13.697900000000001</v>
      </c>
      <c r="AJ83" s="9"/>
      <c r="AK83" s="9"/>
      <c r="AL83" s="9">
        <v>250.327</v>
      </c>
      <c r="AM83" s="9">
        <v>204</v>
      </c>
      <c r="AN83" s="9">
        <v>298</v>
      </c>
      <c r="AQ83" s="79"/>
    </row>
    <row r="84" spans="1:43">
      <c r="A84" s="16" t="s">
        <v>44</v>
      </c>
      <c r="B84" s="60" t="s">
        <v>253</v>
      </c>
      <c r="C84" s="28">
        <f t="shared" si="18"/>
        <v>65.875</v>
      </c>
      <c r="D84" s="28">
        <v>66.25</v>
      </c>
      <c r="E84" s="28">
        <v>65.5</v>
      </c>
      <c r="F84" s="31">
        <f t="shared" si="15"/>
        <v>300</v>
      </c>
      <c r="G84" s="31">
        <f t="shared" si="16"/>
        <v>240</v>
      </c>
      <c r="H84" s="31">
        <f t="shared" si="17"/>
        <v>360</v>
      </c>
      <c r="I84" s="21">
        <v>750</v>
      </c>
      <c r="J84" s="61">
        <v>600</v>
      </c>
      <c r="K84" s="61">
        <v>900</v>
      </c>
      <c r="L84" s="61">
        <v>5000</v>
      </c>
      <c r="M84" s="31">
        <v>2000</v>
      </c>
      <c r="N84" s="31"/>
      <c r="O84" s="61" t="s">
        <v>42</v>
      </c>
      <c r="P84" s="13" t="s">
        <v>460</v>
      </c>
      <c r="Q84" s="101">
        <v>3.9855</v>
      </c>
      <c r="S84" s="30"/>
      <c r="T84" s="53">
        <v>333.79774716408605</v>
      </c>
      <c r="U84" s="103">
        <v>294.66841129666432</v>
      </c>
      <c r="V84" s="103">
        <v>426.55668146434363</v>
      </c>
      <c r="W84" s="61" t="s">
        <v>174</v>
      </c>
      <c r="X84" s="13" t="s">
        <v>132</v>
      </c>
      <c r="Y84" s="79" t="s">
        <v>324</v>
      </c>
      <c r="Z84" s="14">
        <f>AVERAGE(AA84:AB84)</f>
        <v>61.099999999999994</v>
      </c>
      <c r="AA84" s="14">
        <v>64.8</v>
      </c>
      <c r="AB84" s="14">
        <v>57.4</v>
      </c>
      <c r="AC84" s="48">
        <v>317.48899999999998</v>
      </c>
      <c r="AD84" s="48">
        <v>307.61599999999999</v>
      </c>
      <c r="AE84" s="48">
        <v>329.73</v>
      </c>
      <c r="AF84" s="50" t="s">
        <v>376</v>
      </c>
      <c r="AG84" s="61" t="s">
        <v>42</v>
      </c>
      <c r="AH84" s="13" t="s">
        <v>456</v>
      </c>
      <c r="AI84" s="29">
        <v>13.736000000000001</v>
      </c>
      <c r="AJ84" s="9"/>
      <c r="AK84" s="9"/>
      <c r="AL84" s="9">
        <v>254.81899999999999</v>
      </c>
      <c r="AM84" s="9">
        <v>208</v>
      </c>
      <c r="AN84" s="9">
        <v>303</v>
      </c>
      <c r="AQ84" s="79"/>
    </row>
    <row r="85" spans="1:43">
      <c r="A85" s="16" t="s">
        <v>44</v>
      </c>
      <c r="B85" s="60" t="s">
        <v>252</v>
      </c>
      <c r="C85" s="28">
        <f t="shared" si="18"/>
        <v>67.174999999999997</v>
      </c>
      <c r="D85" s="28">
        <v>68.099999999999994</v>
      </c>
      <c r="E85" s="28">
        <v>66.25</v>
      </c>
      <c r="F85" s="31">
        <f t="shared" si="15"/>
        <v>560</v>
      </c>
      <c r="G85" s="31">
        <f t="shared" si="16"/>
        <v>440</v>
      </c>
      <c r="H85" s="31">
        <f t="shared" si="17"/>
        <v>680</v>
      </c>
      <c r="I85" s="21">
        <v>1400</v>
      </c>
      <c r="J85" s="61">
        <v>1100</v>
      </c>
      <c r="K85" s="61">
        <v>1700</v>
      </c>
      <c r="L85" s="61">
        <v>5000</v>
      </c>
      <c r="M85" s="31">
        <v>2000</v>
      </c>
      <c r="N85" s="31"/>
      <c r="O85" s="61" t="s">
        <v>42</v>
      </c>
      <c r="P85" s="13" t="s">
        <v>460</v>
      </c>
      <c r="Q85" s="101">
        <v>4.1061999999999994</v>
      </c>
      <c r="S85" s="30"/>
      <c r="T85" s="53">
        <v>348.03923494424782</v>
      </c>
      <c r="U85" s="103">
        <v>307.02877186693951</v>
      </c>
      <c r="V85" s="103">
        <v>445.0728158329722</v>
      </c>
      <c r="W85" s="61" t="s">
        <v>174</v>
      </c>
      <c r="X85" s="13" t="s">
        <v>47</v>
      </c>
      <c r="Y85" s="79" t="s">
        <v>332</v>
      </c>
      <c r="Z85" s="14">
        <f>AVERAGE(AA85:AB85)</f>
        <v>49.9</v>
      </c>
      <c r="AA85" s="14">
        <v>52</v>
      </c>
      <c r="AB85" s="14">
        <v>47.8</v>
      </c>
      <c r="AC85" s="9">
        <f>AVERAGE(AD85:AE85)</f>
        <v>658.5</v>
      </c>
      <c r="AD85" s="9">
        <f>439</f>
        <v>439</v>
      </c>
      <c r="AE85" s="9">
        <f>AD85*2</f>
        <v>878</v>
      </c>
      <c r="AF85" s="61" t="s">
        <v>118</v>
      </c>
      <c r="AG85" s="61" t="s">
        <v>42</v>
      </c>
      <c r="AH85" s="13" t="s">
        <v>456</v>
      </c>
      <c r="AI85" s="29">
        <v>13.740500000000001</v>
      </c>
      <c r="AJ85" s="9"/>
      <c r="AK85" s="9"/>
      <c r="AL85" s="9">
        <v>229.78899999999999</v>
      </c>
      <c r="AM85" s="9">
        <v>187</v>
      </c>
      <c r="AN85" s="9">
        <v>273</v>
      </c>
      <c r="AQ85" s="79"/>
    </row>
    <row r="86" spans="1:43">
      <c r="A86" s="16" t="s">
        <v>44</v>
      </c>
      <c r="B86" s="60" t="s">
        <v>252</v>
      </c>
      <c r="C86" s="28">
        <f t="shared" si="18"/>
        <v>67.174999999999997</v>
      </c>
      <c r="D86" s="28">
        <v>68.099999999999994</v>
      </c>
      <c r="E86" s="28">
        <v>66.25</v>
      </c>
      <c r="F86" s="31">
        <f t="shared" si="15"/>
        <v>300</v>
      </c>
      <c r="G86" s="31">
        <f t="shared" si="16"/>
        <v>240</v>
      </c>
      <c r="H86" s="31">
        <f t="shared" si="17"/>
        <v>360</v>
      </c>
      <c r="I86" s="21">
        <v>750</v>
      </c>
      <c r="J86" s="61">
        <v>600</v>
      </c>
      <c r="K86" s="61">
        <v>900</v>
      </c>
      <c r="L86" s="61">
        <v>5000</v>
      </c>
      <c r="M86" s="31">
        <v>2000</v>
      </c>
      <c r="N86" s="31"/>
      <c r="O86" s="61" t="s">
        <v>42</v>
      </c>
      <c r="P86" s="13" t="s">
        <v>460</v>
      </c>
      <c r="Q86" s="101">
        <v>4.4474999999999998</v>
      </c>
      <c r="S86" s="30"/>
      <c r="T86" s="53">
        <v>379.40156811240678</v>
      </c>
      <c r="U86" s="103">
        <v>345.34775011103227</v>
      </c>
      <c r="V86" s="103">
        <v>470.57394325510495</v>
      </c>
      <c r="W86" s="61" t="s">
        <v>174</v>
      </c>
      <c r="X86" s="13" t="s">
        <v>435</v>
      </c>
      <c r="Y86" s="79" t="s">
        <v>333</v>
      </c>
      <c r="Z86" s="14">
        <f>AVERAGE(AA86:AB86)</f>
        <v>409.20000000000005</v>
      </c>
      <c r="AA86" s="14">
        <v>410.8</v>
      </c>
      <c r="AB86" s="14">
        <v>407.6</v>
      </c>
      <c r="AC86" s="9">
        <v>2836</v>
      </c>
      <c r="AD86" s="9">
        <v>2505</v>
      </c>
      <c r="AE86" s="9">
        <v>4561</v>
      </c>
      <c r="AF86" s="61" t="s">
        <v>373</v>
      </c>
      <c r="AG86" s="61" t="s">
        <v>42</v>
      </c>
      <c r="AH86" s="13" t="s">
        <v>456</v>
      </c>
      <c r="AI86" s="29">
        <v>13.7662</v>
      </c>
      <c r="AJ86" s="9"/>
      <c r="AK86" s="9"/>
      <c r="AL86" s="9">
        <v>301.029</v>
      </c>
      <c r="AM86" s="9">
        <v>244</v>
      </c>
      <c r="AN86" s="9">
        <v>256</v>
      </c>
      <c r="AQ86" s="79"/>
    </row>
    <row r="87" spans="1:43">
      <c r="A87" s="16" t="s">
        <v>44</v>
      </c>
      <c r="B87" s="60" t="s">
        <v>251</v>
      </c>
      <c r="C87" s="18">
        <f t="shared" si="18"/>
        <v>77.125</v>
      </c>
      <c r="D87" s="28">
        <v>80</v>
      </c>
      <c r="E87" s="28">
        <v>74.25</v>
      </c>
      <c r="F87" s="31">
        <f t="shared" si="15"/>
        <v>480</v>
      </c>
      <c r="G87" s="31">
        <f t="shared" si="16"/>
        <v>360</v>
      </c>
      <c r="H87" s="31">
        <f t="shared" si="17"/>
        <v>600</v>
      </c>
      <c r="I87" s="61">
        <v>1200</v>
      </c>
      <c r="J87" s="61">
        <v>900</v>
      </c>
      <c r="K87" s="61">
        <v>1500</v>
      </c>
      <c r="L87" s="61">
        <v>5000</v>
      </c>
      <c r="M87" s="31">
        <v>2000</v>
      </c>
      <c r="N87" s="31"/>
      <c r="O87" s="61" t="s">
        <v>42</v>
      </c>
      <c r="P87" s="13" t="s">
        <v>460</v>
      </c>
      <c r="Q87" s="101">
        <v>4.7762000000000002</v>
      </c>
      <c r="S87" s="30"/>
      <c r="T87" s="53">
        <v>360.95409020204806</v>
      </c>
      <c r="U87" s="103">
        <v>332.02601114684273</v>
      </c>
      <c r="V87" s="103">
        <v>443.06257967429855</v>
      </c>
      <c r="W87" s="61" t="s">
        <v>174</v>
      </c>
      <c r="X87" s="13" t="s">
        <v>77</v>
      </c>
      <c r="Y87" s="79" t="s">
        <v>334</v>
      </c>
      <c r="Z87" s="14">
        <v>182.5</v>
      </c>
      <c r="AA87" s="14"/>
      <c r="AB87" s="14"/>
      <c r="AC87" s="9">
        <v>1050</v>
      </c>
      <c r="AD87" s="9">
        <v>800</v>
      </c>
      <c r="AE87" s="9">
        <v>1300</v>
      </c>
      <c r="AF87" s="61" t="s">
        <v>118</v>
      </c>
      <c r="AG87" s="61" t="s">
        <v>42</v>
      </c>
      <c r="AH87" s="13" t="s">
        <v>456</v>
      </c>
      <c r="AI87" s="29">
        <v>13.785600000000001</v>
      </c>
      <c r="AJ87" s="9"/>
      <c r="AK87" s="9"/>
      <c r="AL87" s="9">
        <v>283.18</v>
      </c>
      <c r="AM87" s="9">
        <v>231</v>
      </c>
      <c r="AN87" s="9">
        <v>336</v>
      </c>
      <c r="AQ87" s="79"/>
    </row>
    <row r="88" spans="1:43">
      <c r="A88" s="23" t="s">
        <v>74</v>
      </c>
      <c r="B88" s="49" t="s">
        <v>256</v>
      </c>
      <c r="C88" s="24">
        <f>64.15+O88</f>
        <v>65.150000000000006</v>
      </c>
      <c r="D88" s="28">
        <f t="shared" ref="D88:D123" si="19">C88+1</f>
        <v>66.150000000000006</v>
      </c>
      <c r="E88" s="28">
        <f t="shared" ref="E88:E123" si="20">C88-1</f>
        <v>64.150000000000006</v>
      </c>
      <c r="F88" s="31">
        <f t="shared" si="15"/>
        <v>178.06692593452541</v>
      </c>
      <c r="G88" s="31">
        <f t="shared" si="16"/>
        <v>148.38910494543785</v>
      </c>
      <c r="H88" s="31">
        <f t="shared" si="17"/>
        <v>207.74474692361298</v>
      </c>
      <c r="I88" s="65">
        <v>534.20077780357622</v>
      </c>
      <c r="J88" s="65">
        <v>445.16731483631355</v>
      </c>
      <c r="K88" s="65">
        <v>623.23424077083894</v>
      </c>
      <c r="L88" s="65">
        <v>6000</v>
      </c>
      <c r="M88" s="31">
        <v>2000</v>
      </c>
      <c r="N88" s="50" t="s">
        <v>404</v>
      </c>
      <c r="O88" s="9">
        <v>1</v>
      </c>
      <c r="P88" s="13" t="s">
        <v>460</v>
      </c>
      <c r="Q88" s="102">
        <v>7.15</v>
      </c>
      <c r="S88" s="30"/>
      <c r="T88" s="53">
        <v>378.55319642179171</v>
      </c>
      <c r="U88" s="103">
        <v>323.24565825190251</v>
      </c>
      <c r="V88" s="103">
        <v>499.5765709101716</v>
      </c>
      <c r="W88" s="61" t="s">
        <v>174</v>
      </c>
      <c r="X88" s="13" t="s">
        <v>77</v>
      </c>
      <c r="Y88" s="79" t="s">
        <v>334</v>
      </c>
      <c r="Z88" s="14">
        <v>182.6</v>
      </c>
      <c r="AA88" s="14"/>
      <c r="AB88" s="14"/>
      <c r="AC88" s="9">
        <v>1550</v>
      </c>
      <c r="AD88" s="9">
        <v>1200</v>
      </c>
      <c r="AE88" s="9">
        <v>1900</v>
      </c>
      <c r="AF88" s="61" t="s">
        <v>118</v>
      </c>
      <c r="AG88" s="61" t="s">
        <v>42</v>
      </c>
      <c r="AH88" s="13" t="s">
        <v>456</v>
      </c>
      <c r="AI88" s="29">
        <v>13.798500000000001</v>
      </c>
      <c r="AJ88" s="9"/>
      <c r="AK88" s="9"/>
      <c r="AL88" s="9">
        <v>311.21699999999998</v>
      </c>
      <c r="AM88" s="9">
        <v>253</v>
      </c>
      <c r="AN88" s="9">
        <v>369</v>
      </c>
      <c r="AQ88" s="79"/>
    </row>
    <row r="89" spans="1:43">
      <c r="A89" s="23" t="s">
        <v>74</v>
      </c>
      <c r="B89" s="49" t="s">
        <v>256</v>
      </c>
      <c r="C89" s="24">
        <f>64.24+O88</f>
        <v>65.239999999999995</v>
      </c>
      <c r="D89" s="28">
        <f t="shared" si="19"/>
        <v>66.239999999999995</v>
      </c>
      <c r="E89" s="28">
        <f t="shared" si="20"/>
        <v>64.239999999999995</v>
      </c>
      <c r="F89" s="31">
        <f t="shared" si="15"/>
        <v>162.80423005993634</v>
      </c>
      <c r="G89" s="31">
        <f t="shared" si="16"/>
        <v>135.6701917166136</v>
      </c>
      <c r="H89" s="31">
        <f t="shared" si="17"/>
        <v>189.93826840325903</v>
      </c>
      <c r="I89" s="65">
        <v>488.41269017980898</v>
      </c>
      <c r="J89" s="65">
        <v>407.0105751498408</v>
      </c>
      <c r="K89" s="65">
        <v>569.81480520977709</v>
      </c>
      <c r="L89" s="65">
        <v>6000</v>
      </c>
      <c r="M89" s="31">
        <v>2000</v>
      </c>
      <c r="N89" s="50" t="s">
        <v>404</v>
      </c>
      <c r="O89" s="61" t="s">
        <v>42</v>
      </c>
      <c r="P89" s="13" t="s">
        <v>460</v>
      </c>
      <c r="Q89" s="102">
        <v>14.1</v>
      </c>
      <c r="S89" s="30"/>
      <c r="T89" s="53">
        <v>340.66785971086716</v>
      </c>
      <c r="U89" s="103">
        <v>311.26968468059579</v>
      </c>
      <c r="V89" s="103">
        <v>420.94549815121252</v>
      </c>
      <c r="W89" s="61" t="s">
        <v>174</v>
      </c>
      <c r="X89" s="13" t="s">
        <v>77</v>
      </c>
      <c r="Y89" s="79" t="s">
        <v>334</v>
      </c>
      <c r="Z89" s="14">
        <v>182.7</v>
      </c>
      <c r="AA89" s="14"/>
      <c r="AB89" s="14"/>
      <c r="AC89" s="9">
        <v>550</v>
      </c>
      <c r="AD89" s="9">
        <v>400</v>
      </c>
      <c r="AE89" s="9">
        <v>700</v>
      </c>
      <c r="AF89" s="61" t="s">
        <v>118</v>
      </c>
      <c r="AG89" s="61" t="s">
        <v>42</v>
      </c>
      <c r="AH89" s="9"/>
      <c r="AI89" s="9"/>
      <c r="AJ89" s="9"/>
      <c r="AK89" s="9"/>
      <c r="AL89" s="9"/>
      <c r="AM89" s="9"/>
      <c r="AN89" s="9"/>
      <c r="AQ89" s="79"/>
    </row>
    <row r="90" spans="1:43">
      <c r="A90" s="23" t="s">
        <v>74</v>
      </c>
      <c r="B90" s="49" t="s">
        <v>256</v>
      </c>
      <c r="C90" s="24">
        <f>64.37+O88</f>
        <v>65.37</v>
      </c>
      <c r="D90" s="28">
        <f t="shared" si="19"/>
        <v>66.37</v>
      </c>
      <c r="E90" s="28">
        <f t="shared" si="20"/>
        <v>64.37</v>
      </c>
      <c r="F90" s="31">
        <f t="shared" si="15"/>
        <v>88.051822402624197</v>
      </c>
      <c r="G90" s="31">
        <f t="shared" si="16"/>
        <v>73.376518668853507</v>
      </c>
      <c r="H90" s="31">
        <f t="shared" si="17"/>
        <v>102.7271261363949</v>
      </c>
      <c r="I90" s="65">
        <v>264.15546720787262</v>
      </c>
      <c r="J90" s="65">
        <v>220.12955600656051</v>
      </c>
      <c r="K90" s="65">
        <v>308.18137840918467</v>
      </c>
      <c r="L90" s="65">
        <v>6000</v>
      </c>
      <c r="M90" s="31">
        <v>2000</v>
      </c>
      <c r="N90" s="50" t="s">
        <v>404</v>
      </c>
      <c r="O90" s="61" t="s">
        <v>42</v>
      </c>
      <c r="P90" s="13" t="s">
        <v>460</v>
      </c>
      <c r="Q90" s="102">
        <v>14.74</v>
      </c>
      <c r="S90" s="30"/>
      <c r="T90" s="53">
        <v>430.09710431476753</v>
      </c>
      <c r="U90" s="103">
        <v>387.75516946446925</v>
      </c>
      <c r="V90" s="103">
        <v>538.54710461375123</v>
      </c>
      <c r="W90" s="61" t="s">
        <v>174</v>
      </c>
      <c r="X90" s="13" t="s">
        <v>77</v>
      </c>
      <c r="Y90" s="79" t="s">
        <v>334</v>
      </c>
      <c r="Z90" s="14">
        <v>182.8</v>
      </c>
      <c r="AA90" s="14"/>
      <c r="AB90" s="14"/>
      <c r="AC90" s="9">
        <v>950</v>
      </c>
      <c r="AD90" s="9">
        <v>700</v>
      </c>
      <c r="AE90" s="9">
        <v>1200</v>
      </c>
      <c r="AF90" s="61" t="s">
        <v>118</v>
      </c>
      <c r="AG90" s="61" t="s">
        <v>42</v>
      </c>
      <c r="AH90" s="9"/>
      <c r="AI90" s="9"/>
      <c r="AJ90" s="9"/>
      <c r="AK90" s="9"/>
      <c r="AL90" s="9"/>
      <c r="AM90" s="9"/>
      <c r="AN90" s="9"/>
      <c r="AQ90" s="79"/>
    </row>
    <row r="91" spans="1:43">
      <c r="A91" s="23" t="s">
        <v>74</v>
      </c>
      <c r="B91" s="49" t="s">
        <v>256</v>
      </c>
      <c r="C91" s="24">
        <f>64.61+O88</f>
        <v>65.61</v>
      </c>
      <c r="D91" s="28">
        <f t="shared" si="19"/>
        <v>66.61</v>
      </c>
      <c r="E91" s="28">
        <f t="shared" si="20"/>
        <v>64.61</v>
      </c>
      <c r="F91" s="31">
        <f t="shared" si="15"/>
        <v>111.16932153392366</v>
      </c>
      <c r="G91" s="31">
        <f t="shared" si="16"/>
        <v>92.641101278269701</v>
      </c>
      <c r="H91" s="31">
        <f t="shared" si="17"/>
        <v>129.6975417895776</v>
      </c>
      <c r="I91" s="65">
        <v>333.50796460177099</v>
      </c>
      <c r="J91" s="65">
        <v>277.92330383480913</v>
      </c>
      <c r="K91" s="65">
        <v>389.0926253687328</v>
      </c>
      <c r="L91" s="65">
        <v>6000</v>
      </c>
      <c r="M91" s="31">
        <v>2000</v>
      </c>
      <c r="N91" s="50" t="s">
        <v>404</v>
      </c>
      <c r="O91" s="61" t="s">
        <v>42</v>
      </c>
      <c r="P91" s="13" t="s">
        <v>460</v>
      </c>
      <c r="Q91" s="102">
        <v>15.84</v>
      </c>
      <c r="S91" s="30"/>
      <c r="T91" s="53">
        <v>401.79887907081172</v>
      </c>
      <c r="U91" s="103">
        <v>374.79397672458862</v>
      </c>
      <c r="V91" s="103">
        <v>486.39161535592746</v>
      </c>
      <c r="W91" s="61" t="s">
        <v>174</v>
      </c>
      <c r="X91" s="13" t="s">
        <v>77</v>
      </c>
      <c r="Y91" s="79" t="s">
        <v>334</v>
      </c>
      <c r="Z91" s="14">
        <v>182.9</v>
      </c>
      <c r="AA91" s="14"/>
      <c r="AB91" s="14"/>
      <c r="AC91" s="9">
        <v>950</v>
      </c>
      <c r="AD91" s="9">
        <v>700</v>
      </c>
      <c r="AE91" s="9">
        <v>1200</v>
      </c>
      <c r="AF91" s="61" t="s">
        <v>118</v>
      </c>
      <c r="AG91" s="61" t="s">
        <v>42</v>
      </c>
      <c r="AH91" s="9"/>
      <c r="AI91" s="9"/>
      <c r="AJ91" s="9"/>
      <c r="AK91" s="9"/>
      <c r="AL91" s="9"/>
      <c r="AM91" s="9"/>
      <c r="AN91" s="9"/>
      <c r="AQ91" s="79"/>
    </row>
    <row r="92" spans="1:43">
      <c r="A92" s="23" t="s">
        <v>74</v>
      </c>
      <c r="B92" s="49" t="s">
        <v>256</v>
      </c>
      <c r="C92" s="24">
        <f>64.77+O88</f>
        <v>65.77</v>
      </c>
      <c r="D92" s="28">
        <f t="shared" si="19"/>
        <v>66.77</v>
      </c>
      <c r="E92" s="28">
        <f t="shared" si="20"/>
        <v>64.77</v>
      </c>
      <c r="F92" s="31">
        <f t="shared" si="15"/>
        <v>177.52590366667656</v>
      </c>
      <c r="G92" s="31">
        <f t="shared" si="16"/>
        <v>147.93825305556379</v>
      </c>
      <c r="H92" s="31">
        <f t="shared" si="17"/>
        <v>207.11355427778935</v>
      </c>
      <c r="I92" s="65">
        <v>532.57771100002969</v>
      </c>
      <c r="J92" s="65">
        <v>443.81475916669137</v>
      </c>
      <c r="K92" s="65">
        <v>621.34066283336801</v>
      </c>
      <c r="L92" s="65">
        <v>6000</v>
      </c>
      <c r="M92" s="31">
        <v>2000</v>
      </c>
      <c r="N92" s="50" t="s">
        <v>404</v>
      </c>
      <c r="O92" s="61" t="s">
        <v>42</v>
      </c>
      <c r="P92" s="13" t="s">
        <v>460</v>
      </c>
      <c r="Q92" s="102">
        <v>16.82</v>
      </c>
      <c r="S92" s="30"/>
      <c r="T92" s="53">
        <v>400.62638952798272</v>
      </c>
      <c r="U92" s="103">
        <v>369.97911595765765</v>
      </c>
      <c r="V92" s="103">
        <v>489.83523704952393</v>
      </c>
      <c r="W92" s="61" t="s">
        <v>174</v>
      </c>
      <c r="X92" s="13" t="s">
        <v>77</v>
      </c>
      <c r="Y92" s="79" t="s">
        <v>334</v>
      </c>
      <c r="Z92" s="14">
        <v>183</v>
      </c>
      <c r="AA92" s="14"/>
      <c r="AB92" s="14"/>
      <c r="AC92" s="9">
        <v>600</v>
      </c>
      <c r="AD92" s="9">
        <v>500</v>
      </c>
      <c r="AE92" s="9">
        <v>700</v>
      </c>
      <c r="AF92" s="61" t="s">
        <v>118</v>
      </c>
      <c r="AG92" s="61" t="s">
        <v>42</v>
      </c>
      <c r="AH92" s="9"/>
      <c r="AI92" s="9"/>
      <c r="AJ92" s="9"/>
      <c r="AK92" s="9"/>
      <c r="AL92" s="9"/>
      <c r="AM92" s="9"/>
      <c r="AN92" s="9"/>
      <c r="AQ92" s="79"/>
    </row>
    <row r="93" spans="1:43">
      <c r="A93" s="23" t="s">
        <v>74</v>
      </c>
      <c r="B93" s="49" t="s">
        <v>256</v>
      </c>
      <c r="C93" s="24">
        <f>64.91+O88</f>
        <v>65.91</v>
      </c>
      <c r="D93" s="28">
        <f t="shared" si="19"/>
        <v>66.91</v>
      </c>
      <c r="E93" s="28">
        <f t="shared" si="20"/>
        <v>64.91</v>
      </c>
      <c r="F93" s="31">
        <f t="shared" si="15"/>
        <v>53.751859419697908</v>
      </c>
      <c r="G93" s="31">
        <f t="shared" si="16"/>
        <v>44.79321618308159</v>
      </c>
      <c r="H93" s="31">
        <f t="shared" si="17"/>
        <v>62.710502656314233</v>
      </c>
      <c r="I93" s="65">
        <v>161.25557825909371</v>
      </c>
      <c r="J93" s="65">
        <v>134.37964854924476</v>
      </c>
      <c r="K93" s="65">
        <v>188.13150796894269</v>
      </c>
      <c r="L93" s="65">
        <v>6000</v>
      </c>
      <c r="M93" s="31">
        <v>2000</v>
      </c>
      <c r="N93" s="50" t="s">
        <v>404</v>
      </c>
      <c r="O93" s="61" t="s">
        <v>42</v>
      </c>
      <c r="P93" s="13" t="s">
        <v>460</v>
      </c>
      <c r="Q93" s="102">
        <v>18.260000000000002</v>
      </c>
      <c r="S93" s="30"/>
      <c r="T93" s="53">
        <v>411.86085830675381</v>
      </c>
      <c r="U93" s="103">
        <v>383.51452887600766</v>
      </c>
      <c r="V93" s="103">
        <v>499.43584889305578</v>
      </c>
      <c r="W93" s="61" t="s">
        <v>174</v>
      </c>
      <c r="X93" s="13" t="s">
        <v>80</v>
      </c>
      <c r="Y93" s="79" t="s">
        <v>341</v>
      </c>
      <c r="Z93" s="14">
        <f t="shared" ref="Z93:Z126" si="21">AVERAGE(AA93:AB93)</f>
        <v>104.125</v>
      </c>
      <c r="AA93" s="14">
        <v>107.75</v>
      </c>
      <c r="AB93" s="14">
        <v>100.5</v>
      </c>
      <c r="AC93" s="9">
        <v>710</v>
      </c>
      <c r="AD93" s="9">
        <v>580</v>
      </c>
      <c r="AE93" s="9">
        <v>1420</v>
      </c>
      <c r="AF93" s="61" t="s">
        <v>118</v>
      </c>
      <c r="AG93" s="61" t="s">
        <v>42</v>
      </c>
      <c r="AH93" s="9"/>
      <c r="AI93" s="9"/>
      <c r="AJ93" s="9"/>
      <c r="AK93" s="9"/>
      <c r="AL93" s="9"/>
      <c r="AM93" s="9"/>
      <c r="AN93" s="9"/>
      <c r="AQ93" s="79"/>
    </row>
    <row r="94" spans="1:43">
      <c r="A94" s="23" t="s">
        <v>74</v>
      </c>
      <c r="B94" s="49" t="s">
        <v>256</v>
      </c>
      <c r="C94" s="24">
        <f>65.08+O88</f>
        <v>66.08</v>
      </c>
      <c r="D94" s="28">
        <f t="shared" si="19"/>
        <v>67.08</v>
      </c>
      <c r="E94" s="28">
        <f t="shared" si="20"/>
        <v>65.08</v>
      </c>
      <c r="F94" s="31">
        <f t="shared" si="15"/>
        <v>183.11429896249933</v>
      </c>
      <c r="G94" s="31">
        <f t="shared" si="16"/>
        <v>152.59524913541611</v>
      </c>
      <c r="H94" s="31">
        <f t="shared" si="17"/>
        <v>213.63334878958258</v>
      </c>
      <c r="I94" s="65">
        <v>549.342896887498</v>
      </c>
      <c r="J94" s="65">
        <v>457.78574740624833</v>
      </c>
      <c r="K94" s="65">
        <v>640.90004636874767</v>
      </c>
      <c r="L94" s="65">
        <v>6000</v>
      </c>
      <c r="M94" s="31">
        <v>2000</v>
      </c>
      <c r="N94" s="50" t="s">
        <v>404</v>
      </c>
      <c r="O94" s="61" t="s">
        <v>42</v>
      </c>
      <c r="P94" s="13" t="s">
        <v>460</v>
      </c>
      <c r="Q94" s="102">
        <v>20.3</v>
      </c>
      <c r="S94" s="30"/>
      <c r="T94" s="53">
        <v>357.83055533191026</v>
      </c>
      <c r="U94" s="103">
        <v>332.42439337406785</v>
      </c>
      <c r="V94" s="103">
        <v>434.93045889780836</v>
      </c>
      <c r="W94" s="61" t="s">
        <v>174</v>
      </c>
      <c r="X94" s="13" t="s">
        <v>80</v>
      </c>
      <c r="Y94" s="79" t="s">
        <v>340</v>
      </c>
      <c r="Z94" s="14">
        <f t="shared" si="21"/>
        <v>110.375</v>
      </c>
      <c r="AA94" s="14">
        <v>113</v>
      </c>
      <c r="AB94" s="14">
        <v>107.75</v>
      </c>
      <c r="AC94" s="9">
        <v>710</v>
      </c>
      <c r="AD94" s="9">
        <v>603</v>
      </c>
      <c r="AE94" s="9">
        <v>1400</v>
      </c>
      <c r="AF94" s="61" t="s">
        <v>118</v>
      </c>
      <c r="AG94" s="61" t="s">
        <v>42</v>
      </c>
      <c r="AH94" s="9"/>
      <c r="AI94" s="9"/>
      <c r="AJ94" s="9"/>
      <c r="AK94" s="9"/>
      <c r="AL94" s="9"/>
      <c r="AM94" s="9"/>
      <c r="AN94" s="9"/>
      <c r="AQ94" s="79"/>
    </row>
    <row r="95" spans="1:43">
      <c r="A95" s="23" t="s">
        <v>74</v>
      </c>
      <c r="B95" s="49" t="s">
        <v>256</v>
      </c>
      <c r="C95" s="24">
        <f>65.24+O88</f>
        <v>66.239999999999995</v>
      </c>
      <c r="D95" s="28">
        <f t="shared" si="19"/>
        <v>67.239999999999995</v>
      </c>
      <c r="E95" s="28">
        <f t="shared" si="20"/>
        <v>65.239999999999995</v>
      </c>
      <c r="F95" s="31">
        <f t="shared" si="15"/>
        <v>277.33230490018167</v>
      </c>
      <c r="G95" s="31">
        <f t="shared" si="16"/>
        <v>231.11025408348473</v>
      </c>
      <c r="H95" s="31">
        <f t="shared" si="17"/>
        <v>323.5543557168786</v>
      </c>
      <c r="I95" s="65">
        <v>831.99691470054506</v>
      </c>
      <c r="J95" s="65">
        <v>693.3307622504542</v>
      </c>
      <c r="K95" s="65">
        <v>970.66306715063592</v>
      </c>
      <c r="L95" s="65">
        <v>6000</v>
      </c>
      <c r="M95" s="31">
        <v>2000</v>
      </c>
      <c r="N95" s="50" t="s">
        <v>404</v>
      </c>
      <c r="O95" s="61" t="s">
        <v>42</v>
      </c>
      <c r="P95" s="13" t="s">
        <v>460</v>
      </c>
      <c r="Q95" s="102">
        <v>22.94</v>
      </c>
      <c r="S95" s="30"/>
      <c r="T95" s="53">
        <v>461.81713127660055</v>
      </c>
      <c r="U95" s="103">
        <v>430.02264498173173</v>
      </c>
      <c r="V95" s="103">
        <v>560.02759883896647</v>
      </c>
      <c r="W95" s="61" t="s">
        <v>174</v>
      </c>
      <c r="X95" s="13" t="s">
        <v>80</v>
      </c>
      <c r="Y95" s="79" t="s">
        <v>339</v>
      </c>
      <c r="Z95" s="14">
        <f t="shared" si="21"/>
        <v>116.5</v>
      </c>
      <c r="AA95" s="14">
        <v>120</v>
      </c>
      <c r="AB95" s="14">
        <v>113</v>
      </c>
      <c r="AC95" s="9">
        <v>700</v>
      </c>
      <c r="AD95" s="9">
        <v>597</v>
      </c>
      <c r="AE95" s="9">
        <v>1340</v>
      </c>
      <c r="AF95" s="61" t="s">
        <v>118</v>
      </c>
      <c r="AG95" s="61" t="s">
        <v>42</v>
      </c>
      <c r="AH95" s="9"/>
      <c r="AI95" s="9"/>
      <c r="AJ95" s="9"/>
      <c r="AK95" s="9"/>
      <c r="AL95" s="9"/>
      <c r="AM95" s="9"/>
      <c r="AN95" s="9"/>
      <c r="AQ95" s="79"/>
    </row>
    <row r="96" spans="1:43">
      <c r="A96" s="23" t="s">
        <v>74</v>
      </c>
      <c r="B96" s="49" t="s">
        <v>256</v>
      </c>
      <c r="C96" s="24">
        <f>65.43+O88</f>
        <v>66.430000000000007</v>
      </c>
      <c r="D96" s="28">
        <f t="shared" si="19"/>
        <v>67.430000000000007</v>
      </c>
      <c r="E96" s="28">
        <f t="shared" si="20"/>
        <v>65.430000000000007</v>
      </c>
      <c r="F96" s="31">
        <f t="shared" si="15"/>
        <v>90.239695377860102</v>
      </c>
      <c r="G96" s="31">
        <f t="shared" si="16"/>
        <v>75.199746148216747</v>
      </c>
      <c r="H96" s="31">
        <f t="shared" si="17"/>
        <v>105.27964460750343</v>
      </c>
      <c r="I96" s="65">
        <v>270.71908613358028</v>
      </c>
      <c r="J96" s="65">
        <v>225.59923844465021</v>
      </c>
      <c r="K96" s="65">
        <v>315.83893382251028</v>
      </c>
      <c r="L96" s="65">
        <v>6000</v>
      </c>
      <c r="M96" s="31">
        <v>2000</v>
      </c>
      <c r="N96" s="50" t="s">
        <v>404</v>
      </c>
      <c r="O96" s="61" t="s">
        <v>42</v>
      </c>
      <c r="P96" s="13" t="s">
        <v>460</v>
      </c>
      <c r="Q96" s="102">
        <v>23.48</v>
      </c>
      <c r="S96" s="30"/>
      <c r="T96" s="53">
        <v>410.169486547286</v>
      </c>
      <c r="U96" s="103">
        <v>382.50577609292111</v>
      </c>
      <c r="V96" s="103">
        <v>496.64935626646889</v>
      </c>
      <c r="W96" s="61" t="s">
        <v>174</v>
      </c>
      <c r="X96" s="13" t="s">
        <v>80</v>
      </c>
      <c r="Y96" s="79" t="s">
        <v>338</v>
      </c>
      <c r="Z96" s="14">
        <f t="shared" si="21"/>
        <v>123</v>
      </c>
      <c r="AA96" s="14">
        <v>125</v>
      </c>
      <c r="AB96" s="14">
        <v>121</v>
      </c>
      <c r="AC96" s="9">
        <v>695</v>
      </c>
      <c r="AD96" s="9">
        <v>590</v>
      </c>
      <c r="AE96" s="9">
        <v>1380</v>
      </c>
      <c r="AF96" s="61" t="s">
        <v>118</v>
      </c>
      <c r="AG96" s="61" t="s">
        <v>42</v>
      </c>
      <c r="AQ96" s="79"/>
    </row>
    <row r="97" spans="1:43">
      <c r="A97" s="23" t="s">
        <v>74</v>
      </c>
      <c r="B97" s="49" t="s">
        <v>256</v>
      </c>
      <c r="C97" s="24">
        <f>65.5+O88</f>
        <v>66.5</v>
      </c>
      <c r="D97" s="28">
        <f t="shared" si="19"/>
        <v>67.5</v>
      </c>
      <c r="E97" s="28">
        <f t="shared" si="20"/>
        <v>65.5</v>
      </c>
      <c r="F97" s="31">
        <f t="shared" si="15"/>
        <v>0</v>
      </c>
      <c r="G97" s="31">
        <f t="shared" si="16"/>
        <v>0</v>
      </c>
      <c r="H97" s="31">
        <f t="shared" si="17"/>
        <v>0</v>
      </c>
      <c r="I97" s="65">
        <v>0</v>
      </c>
      <c r="J97" s="65">
        <v>0</v>
      </c>
      <c r="K97" s="65">
        <v>0</v>
      </c>
      <c r="L97" s="65">
        <v>6000</v>
      </c>
      <c r="M97" s="31">
        <v>2000</v>
      </c>
      <c r="N97" s="50" t="s">
        <v>404</v>
      </c>
      <c r="O97" s="61" t="s">
        <v>42</v>
      </c>
      <c r="P97" s="13" t="s">
        <v>460</v>
      </c>
      <c r="Q97" s="102">
        <v>25.3</v>
      </c>
      <c r="S97" s="30"/>
      <c r="T97" s="53">
        <v>416.20041488698217</v>
      </c>
      <c r="U97" s="103">
        <v>386.35693465190081</v>
      </c>
      <c r="V97" s="103">
        <v>506.26051166624325</v>
      </c>
      <c r="W97" s="61" t="s">
        <v>174</v>
      </c>
      <c r="X97" s="13" t="s">
        <v>80</v>
      </c>
      <c r="Y97" s="79" t="s">
        <v>110</v>
      </c>
      <c r="Z97" s="14">
        <f t="shared" si="21"/>
        <v>124.65</v>
      </c>
      <c r="AA97" s="14">
        <v>126.3</v>
      </c>
      <c r="AB97" s="14">
        <v>123</v>
      </c>
      <c r="AC97" s="9">
        <v>630</v>
      </c>
      <c r="AD97" s="9">
        <v>530</v>
      </c>
      <c r="AE97" s="9">
        <v>1220</v>
      </c>
      <c r="AF97" s="61" t="s">
        <v>118</v>
      </c>
      <c r="AG97" s="61" t="s">
        <v>42</v>
      </c>
      <c r="AQ97" s="79"/>
    </row>
    <row r="98" spans="1:43">
      <c r="A98" s="23" t="s">
        <v>74</v>
      </c>
      <c r="B98" s="49" t="s">
        <v>256</v>
      </c>
      <c r="C98" s="24">
        <f>65.5+O88</f>
        <v>66.5</v>
      </c>
      <c r="D98" s="28">
        <f t="shared" si="19"/>
        <v>67.5</v>
      </c>
      <c r="E98" s="28">
        <f t="shared" si="20"/>
        <v>65.5</v>
      </c>
      <c r="F98" s="31">
        <f t="shared" si="15"/>
        <v>42.475583748017719</v>
      </c>
      <c r="G98" s="31">
        <f t="shared" si="16"/>
        <v>35.396319790014765</v>
      </c>
      <c r="H98" s="31">
        <f t="shared" si="17"/>
        <v>49.554847706020666</v>
      </c>
      <c r="I98" s="65">
        <v>127.42675124405315</v>
      </c>
      <c r="J98" s="65">
        <v>106.18895937004429</v>
      </c>
      <c r="K98" s="65">
        <v>148.664543118062</v>
      </c>
      <c r="L98" s="65">
        <v>6000</v>
      </c>
      <c r="M98" s="31">
        <v>2000</v>
      </c>
      <c r="N98" s="50" t="s">
        <v>404</v>
      </c>
      <c r="O98" s="61" t="s">
        <v>42</v>
      </c>
      <c r="P98" s="13" t="s">
        <v>460</v>
      </c>
      <c r="Q98" s="102">
        <v>26.57</v>
      </c>
      <c r="S98" s="30"/>
      <c r="T98" s="53">
        <v>655.71491851257031</v>
      </c>
      <c r="U98" s="103">
        <v>588.31720139805134</v>
      </c>
      <c r="V98" s="103">
        <v>825.20013613567767</v>
      </c>
      <c r="W98" s="61" t="s">
        <v>174</v>
      </c>
      <c r="X98" s="13" t="s">
        <v>80</v>
      </c>
      <c r="Y98" s="79" t="s">
        <v>109</v>
      </c>
      <c r="Z98" s="14">
        <f t="shared" si="21"/>
        <v>127.9</v>
      </c>
      <c r="AA98" s="14">
        <v>129.5</v>
      </c>
      <c r="AB98" s="14">
        <v>126.3</v>
      </c>
      <c r="AC98" s="9">
        <v>630</v>
      </c>
      <c r="AD98" s="9">
        <v>530</v>
      </c>
      <c r="AE98" s="9">
        <v>1250</v>
      </c>
      <c r="AF98" s="61" t="s">
        <v>118</v>
      </c>
      <c r="AG98" s="61" t="s">
        <v>42</v>
      </c>
      <c r="AQ98" s="79"/>
    </row>
    <row r="99" spans="1:43">
      <c r="A99" s="23" t="s">
        <v>74</v>
      </c>
      <c r="B99" s="49" t="s">
        <v>256</v>
      </c>
      <c r="C99" s="24">
        <f>65.6+O88</f>
        <v>66.599999999999994</v>
      </c>
      <c r="D99" s="28">
        <f t="shared" si="19"/>
        <v>67.599999999999994</v>
      </c>
      <c r="E99" s="28">
        <f t="shared" si="20"/>
        <v>65.599999999999994</v>
      </c>
      <c r="F99" s="31">
        <f t="shared" si="15"/>
        <v>14.995849504097869</v>
      </c>
      <c r="G99" s="31">
        <f t="shared" si="16"/>
        <v>12.49654125341489</v>
      </c>
      <c r="H99" s="31">
        <f t="shared" si="17"/>
        <v>17.495157754780845</v>
      </c>
      <c r="I99" s="65">
        <v>44.987548512293607</v>
      </c>
      <c r="J99" s="65">
        <v>37.489623760244669</v>
      </c>
      <c r="K99" s="65">
        <v>52.485473264342538</v>
      </c>
      <c r="L99" s="65">
        <v>6000</v>
      </c>
      <c r="M99" s="31">
        <v>2000</v>
      </c>
      <c r="N99" s="50" t="s">
        <v>404</v>
      </c>
      <c r="O99" s="61" t="s">
        <v>42</v>
      </c>
      <c r="P99" s="13" t="s">
        <v>460</v>
      </c>
      <c r="Q99" s="102">
        <v>27.85</v>
      </c>
      <c r="S99" s="30"/>
      <c r="T99" s="53">
        <v>711.77477607957348</v>
      </c>
      <c r="U99" s="103">
        <v>625.92555221476471</v>
      </c>
      <c r="V99" s="103">
        <v>913.98699292968035</v>
      </c>
      <c r="W99" s="61" t="s">
        <v>174</v>
      </c>
      <c r="X99" s="13" t="s">
        <v>80</v>
      </c>
      <c r="Y99" s="79" t="s">
        <v>337</v>
      </c>
      <c r="Z99" s="14">
        <f t="shared" si="21"/>
        <v>130.15</v>
      </c>
      <c r="AA99" s="14">
        <v>130.80000000000001</v>
      </c>
      <c r="AB99" s="14">
        <v>129.5</v>
      </c>
      <c r="AC99" s="9">
        <v>550</v>
      </c>
      <c r="AD99" s="9">
        <v>450</v>
      </c>
      <c r="AE99" s="9">
        <v>1130</v>
      </c>
      <c r="AF99" s="61" t="s">
        <v>118</v>
      </c>
      <c r="AG99" s="61" t="s">
        <v>42</v>
      </c>
      <c r="AQ99" s="79"/>
    </row>
    <row r="100" spans="1:43">
      <c r="A100" s="23" t="s">
        <v>74</v>
      </c>
      <c r="B100" s="49" t="s">
        <v>256</v>
      </c>
      <c r="C100" s="24">
        <f>65.64+O88</f>
        <v>66.64</v>
      </c>
      <c r="D100" s="28">
        <f t="shared" si="19"/>
        <v>67.64</v>
      </c>
      <c r="E100" s="28">
        <f t="shared" si="20"/>
        <v>65.64</v>
      </c>
      <c r="F100" s="31">
        <f t="shared" si="15"/>
        <v>263.31409209172978</v>
      </c>
      <c r="G100" s="31">
        <f t="shared" si="16"/>
        <v>219.42841007644151</v>
      </c>
      <c r="H100" s="31">
        <f t="shared" si="17"/>
        <v>307.19977410701807</v>
      </c>
      <c r="I100" s="65">
        <v>789.94227627518933</v>
      </c>
      <c r="J100" s="65">
        <v>658.2852302293245</v>
      </c>
      <c r="K100" s="65">
        <v>921.59932232105427</v>
      </c>
      <c r="L100" s="65">
        <v>6000</v>
      </c>
      <c r="M100" s="31">
        <v>2000</v>
      </c>
      <c r="N100" s="50" t="s">
        <v>404</v>
      </c>
      <c r="O100" s="61" t="s">
        <v>42</v>
      </c>
      <c r="P100" s="13" t="s">
        <v>460</v>
      </c>
      <c r="Q100" s="102">
        <v>28.78</v>
      </c>
      <c r="S100" s="30"/>
      <c r="T100" s="53">
        <v>730.21410836933273</v>
      </c>
      <c r="U100" s="103">
        <v>661.82324877657675</v>
      </c>
      <c r="V100" s="103">
        <v>909.76116647707761</v>
      </c>
      <c r="W100" s="61" t="s">
        <v>174</v>
      </c>
      <c r="X100" s="13" t="s">
        <v>80</v>
      </c>
      <c r="Y100" s="79" t="s">
        <v>336</v>
      </c>
      <c r="Z100" s="14">
        <f t="shared" si="21"/>
        <v>131.4</v>
      </c>
      <c r="AA100" s="14">
        <v>132</v>
      </c>
      <c r="AB100" s="14">
        <v>130.80000000000001</v>
      </c>
      <c r="AC100" s="9">
        <v>620</v>
      </c>
      <c r="AD100" s="9">
        <v>590</v>
      </c>
      <c r="AE100" s="9">
        <v>1270</v>
      </c>
      <c r="AF100" s="61" t="s">
        <v>118</v>
      </c>
      <c r="AG100" s="61" t="s">
        <v>42</v>
      </c>
      <c r="AQ100" s="79"/>
    </row>
    <row r="101" spans="1:43">
      <c r="A101" s="23" t="s">
        <v>74</v>
      </c>
      <c r="B101" s="49" t="s">
        <v>256</v>
      </c>
      <c r="C101" s="24">
        <f>65.71+O88</f>
        <v>66.709999999999994</v>
      </c>
      <c r="D101" s="28">
        <f t="shared" si="19"/>
        <v>67.709999999999994</v>
      </c>
      <c r="E101" s="28">
        <f t="shared" si="20"/>
        <v>65.709999999999994</v>
      </c>
      <c r="F101" s="31">
        <f t="shared" si="15"/>
        <v>452.75840136388962</v>
      </c>
      <c r="G101" s="31">
        <f t="shared" si="16"/>
        <v>377.2986678032413</v>
      </c>
      <c r="H101" s="31">
        <f t="shared" si="17"/>
        <v>528.21813492453794</v>
      </c>
      <c r="I101" s="65">
        <v>1358.2752040916689</v>
      </c>
      <c r="J101" s="65">
        <v>1131.896003409724</v>
      </c>
      <c r="K101" s="65">
        <v>1584.6544047736136</v>
      </c>
      <c r="L101" s="65">
        <v>6000</v>
      </c>
      <c r="M101" s="31">
        <v>2000</v>
      </c>
      <c r="N101" s="50" t="s">
        <v>404</v>
      </c>
      <c r="O101" s="61" t="s">
        <v>42</v>
      </c>
      <c r="P101" s="13" t="s">
        <v>460</v>
      </c>
      <c r="Q101" s="102">
        <v>29.21</v>
      </c>
      <c r="S101" s="30"/>
      <c r="T101" s="53">
        <v>853.74844983434161</v>
      </c>
      <c r="U101" s="103">
        <v>791.50995229575619</v>
      </c>
      <c r="V101" s="103">
        <v>1039.8413158423762</v>
      </c>
      <c r="W101" s="61" t="s">
        <v>174</v>
      </c>
      <c r="X101" s="13" t="s">
        <v>80</v>
      </c>
      <c r="Y101" s="79" t="s">
        <v>335</v>
      </c>
      <c r="Z101" s="14">
        <f t="shared" si="21"/>
        <v>132.94999999999999</v>
      </c>
      <c r="AA101" s="14">
        <v>133.9</v>
      </c>
      <c r="AB101" s="14">
        <v>132</v>
      </c>
      <c r="AC101" s="9">
        <v>650</v>
      </c>
      <c r="AD101" s="9">
        <v>500</v>
      </c>
      <c r="AE101" s="9">
        <v>1300</v>
      </c>
      <c r="AF101" s="61" t="s">
        <v>118</v>
      </c>
      <c r="AG101" s="61" t="s">
        <v>42</v>
      </c>
      <c r="AQ101" s="79"/>
    </row>
    <row r="102" spans="1:43">
      <c r="A102" s="23" t="s">
        <v>74</v>
      </c>
      <c r="B102" s="49" t="s">
        <v>256</v>
      </c>
      <c r="C102" s="24">
        <f>65.86+O88</f>
        <v>66.86</v>
      </c>
      <c r="D102" s="28">
        <f t="shared" si="19"/>
        <v>67.86</v>
      </c>
      <c r="E102" s="28">
        <f t="shared" si="20"/>
        <v>65.86</v>
      </c>
      <c r="F102" s="31">
        <f t="shared" si="15"/>
        <v>425.76644417082503</v>
      </c>
      <c r="G102" s="31">
        <f t="shared" si="16"/>
        <v>354.80537014235426</v>
      </c>
      <c r="H102" s="31">
        <f t="shared" si="17"/>
        <v>496.7275181992959</v>
      </c>
      <c r="I102" s="65">
        <v>1277.2993325124751</v>
      </c>
      <c r="J102" s="65">
        <v>1064.4161104270627</v>
      </c>
      <c r="K102" s="65">
        <v>1490.1825545978877</v>
      </c>
      <c r="L102" s="65">
        <v>6000</v>
      </c>
      <c r="M102" s="31">
        <v>2000</v>
      </c>
      <c r="N102" s="50" t="s">
        <v>404</v>
      </c>
      <c r="O102" s="61" t="s">
        <v>42</v>
      </c>
      <c r="P102" s="13" t="s">
        <v>460</v>
      </c>
      <c r="Q102" s="102">
        <v>29.57</v>
      </c>
      <c r="S102" s="30"/>
      <c r="T102" s="53">
        <v>971.84459582453576</v>
      </c>
      <c r="U102" s="103">
        <v>904.64292292041659</v>
      </c>
      <c r="V102" s="103">
        <v>1178.9045019532814</v>
      </c>
      <c r="W102" s="61" t="s">
        <v>174</v>
      </c>
      <c r="X102" s="13" t="s">
        <v>96</v>
      </c>
      <c r="Y102" s="79" t="s">
        <v>411</v>
      </c>
      <c r="Z102" s="14">
        <f t="shared" si="21"/>
        <v>139.44999999999999</v>
      </c>
      <c r="AA102" s="14">
        <v>145</v>
      </c>
      <c r="AB102" s="14">
        <v>133.9</v>
      </c>
      <c r="AC102" s="31">
        <f t="shared" ref="AC102:AC108" si="22">AVERAGE(AD102:AE102)</f>
        <v>1442.0118205804749</v>
      </c>
      <c r="AD102" s="31">
        <v>961.34121372031666</v>
      </c>
      <c r="AE102" s="9">
        <f t="shared" ref="AE102:AE108" si="23">AD102*2</f>
        <v>1922.6824274406333</v>
      </c>
      <c r="AF102" s="61" t="s">
        <v>118</v>
      </c>
      <c r="AG102" s="61" t="s">
        <v>42</v>
      </c>
      <c r="AQ102" s="79"/>
    </row>
    <row r="103" spans="1:43">
      <c r="A103" s="23" t="s">
        <v>74</v>
      </c>
      <c r="B103" s="49" t="s">
        <v>256</v>
      </c>
      <c r="C103" s="24">
        <f>65.93+O88</f>
        <v>66.930000000000007</v>
      </c>
      <c r="D103" s="28">
        <f t="shared" si="19"/>
        <v>67.930000000000007</v>
      </c>
      <c r="E103" s="28">
        <f t="shared" si="20"/>
        <v>65.930000000000007</v>
      </c>
      <c r="F103" s="31">
        <f t="shared" si="15"/>
        <v>265.47597109771891</v>
      </c>
      <c r="G103" s="31">
        <f t="shared" si="16"/>
        <v>221.22997591476573</v>
      </c>
      <c r="H103" s="31">
        <f t="shared" si="17"/>
        <v>309.72196628067206</v>
      </c>
      <c r="I103" s="65">
        <v>796.42791329315662</v>
      </c>
      <c r="J103" s="65">
        <v>663.68992774429717</v>
      </c>
      <c r="K103" s="65">
        <v>929.16589884201608</v>
      </c>
      <c r="L103" s="65">
        <v>6000</v>
      </c>
      <c r="M103" s="31">
        <v>2000</v>
      </c>
      <c r="N103" s="50" t="s">
        <v>404</v>
      </c>
      <c r="O103" s="61" t="s">
        <v>42</v>
      </c>
      <c r="P103" s="13" t="s">
        <v>460</v>
      </c>
      <c r="Q103" s="102">
        <v>29.64</v>
      </c>
      <c r="S103" s="30"/>
      <c r="T103" s="53">
        <v>895.16371350559814</v>
      </c>
      <c r="U103" s="103">
        <v>817.83576204951623</v>
      </c>
      <c r="V103" s="103">
        <v>1106.42764109686</v>
      </c>
      <c r="W103" s="61" t="s">
        <v>174</v>
      </c>
      <c r="X103" s="13" t="s">
        <v>96</v>
      </c>
      <c r="Y103" s="79" t="s">
        <v>411</v>
      </c>
      <c r="Z103" s="14">
        <f t="shared" si="21"/>
        <v>139.44999999999999</v>
      </c>
      <c r="AA103" s="14">
        <v>145</v>
      </c>
      <c r="AB103" s="14">
        <v>133.9</v>
      </c>
      <c r="AC103" s="31">
        <f t="shared" si="22"/>
        <v>1228.140404494382</v>
      </c>
      <c r="AD103" s="31">
        <v>818.76026966292136</v>
      </c>
      <c r="AE103" s="9">
        <f t="shared" si="23"/>
        <v>1637.5205393258427</v>
      </c>
      <c r="AF103" s="61" t="s">
        <v>118</v>
      </c>
      <c r="AG103" s="61" t="s">
        <v>42</v>
      </c>
      <c r="AQ103" s="79"/>
    </row>
    <row r="104" spans="1:43">
      <c r="A104" s="23" t="s">
        <v>74</v>
      </c>
      <c r="B104" s="49" t="s">
        <v>256</v>
      </c>
      <c r="C104" s="24">
        <f>65.99+O88</f>
        <v>66.989999999999995</v>
      </c>
      <c r="D104" s="28">
        <f t="shared" si="19"/>
        <v>67.989999999999995</v>
      </c>
      <c r="E104" s="28">
        <f t="shared" si="20"/>
        <v>65.989999999999995</v>
      </c>
      <c r="F104" s="31">
        <f t="shared" si="15"/>
        <v>219.13705613847904</v>
      </c>
      <c r="G104" s="31">
        <f t="shared" si="16"/>
        <v>182.61421344873256</v>
      </c>
      <c r="H104" s="31">
        <f t="shared" si="17"/>
        <v>255.65989882822555</v>
      </c>
      <c r="I104" s="65">
        <v>657.41116841543715</v>
      </c>
      <c r="J104" s="65">
        <v>547.84264034619764</v>
      </c>
      <c r="K104" s="65">
        <v>766.97969648467665</v>
      </c>
      <c r="L104" s="65">
        <v>6000</v>
      </c>
      <c r="M104" s="31">
        <v>2000</v>
      </c>
      <c r="N104" s="50" t="s">
        <v>404</v>
      </c>
      <c r="O104" s="61" t="s">
        <v>42</v>
      </c>
      <c r="P104" s="13" t="s">
        <v>460</v>
      </c>
      <c r="Q104" s="102">
        <v>30.62</v>
      </c>
      <c r="S104" s="30"/>
      <c r="T104" s="53">
        <v>764.78144187157886</v>
      </c>
      <c r="U104" s="103">
        <v>708.67768779781625</v>
      </c>
      <c r="V104" s="103">
        <v>931.94091511261104</v>
      </c>
      <c r="W104" s="61" t="s">
        <v>174</v>
      </c>
      <c r="X104" s="13" t="s">
        <v>96</v>
      </c>
      <c r="Y104" s="79" t="s">
        <v>411</v>
      </c>
      <c r="Z104" s="14">
        <f t="shared" si="21"/>
        <v>139.44999999999999</v>
      </c>
      <c r="AA104" s="14">
        <v>145</v>
      </c>
      <c r="AB104" s="14">
        <v>133.9</v>
      </c>
      <c r="AC104" s="31">
        <f t="shared" si="22"/>
        <v>1150.5736421052632</v>
      </c>
      <c r="AD104" s="31">
        <v>767.04909473684211</v>
      </c>
      <c r="AE104" s="9">
        <f t="shared" si="23"/>
        <v>1534.0981894736842</v>
      </c>
      <c r="AF104" s="61" t="s">
        <v>118</v>
      </c>
      <c r="AG104" s="61" t="s">
        <v>42</v>
      </c>
      <c r="AQ104" s="79"/>
    </row>
    <row r="105" spans="1:43">
      <c r="A105" s="23" t="s">
        <v>74</v>
      </c>
      <c r="B105" s="49" t="s">
        <v>256</v>
      </c>
      <c r="C105" s="24">
        <f>66.04+O88</f>
        <v>67.040000000000006</v>
      </c>
      <c r="D105" s="28">
        <f t="shared" si="19"/>
        <v>68.040000000000006</v>
      </c>
      <c r="E105" s="28">
        <f t="shared" si="20"/>
        <v>66.040000000000006</v>
      </c>
      <c r="F105" s="31">
        <f t="shared" si="15"/>
        <v>128.32428587686397</v>
      </c>
      <c r="G105" s="31">
        <f t="shared" si="16"/>
        <v>106.93690489738664</v>
      </c>
      <c r="H105" s="31">
        <f t="shared" si="17"/>
        <v>149.71166685634128</v>
      </c>
      <c r="I105" s="65">
        <v>384.97285763059188</v>
      </c>
      <c r="J105" s="65">
        <v>320.81071469215988</v>
      </c>
      <c r="K105" s="65">
        <v>449.13500056902382</v>
      </c>
      <c r="L105" s="65">
        <v>6000</v>
      </c>
      <c r="M105" s="31">
        <v>2000</v>
      </c>
      <c r="N105" s="50" t="s">
        <v>404</v>
      </c>
      <c r="O105" s="61" t="s">
        <v>42</v>
      </c>
      <c r="P105" s="13" t="s">
        <v>460</v>
      </c>
      <c r="Q105" s="102">
        <v>31.27</v>
      </c>
      <c r="S105" s="30"/>
      <c r="T105" s="53">
        <v>724.96144627795297</v>
      </c>
      <c r="U105" s="103">
        <v>663.70530579488366</v>
      </c>
      <c r="V105" s="103">
        <v>894.1652805158709</v>
      </c>
      <c r="W105" s="61" t="s">
        <v>174</v>
      </c>
      <c r="X105" s="13" t="s">
        <v>96</v>
      </c>
      <c r="Y105" s="79" t="s">
        <v>343</v>
      </c>
      <c r="Z105" s="14">
        <f t="shared" si="21"/>
        <v>168</v>
      </c>
      <c r="AA105" s="14">
        <v>168.3</v>
      </c>
      <c r="AB105" s="14">
        <v>167.7</v>
      </c>
      <c r="AC105" s="31">
        <f t="shared" si="22"/>
        <v>1031.1744905660378</v>
      </c>
      <c r="AD105" s="31">
        <v>687.44966037735855</v>
      </c>
      <c r="AE105" s="9">
        <f t="shared" si="23"/>
        <v>1374.8993207547171</v>
      </c>
      <c r="AF105" s="61" t="s">
        <v>118</v>
      </c>
      <c r="AG105" s="61" t="s">
        <v>42</v>
      </c>
      <c r="AQ105" s="79"/>
    </row>
    <row r="106" spans="1:43">
      <c r="A106" s="23" t="s">
        <v>74</v>
      </c>
      <c r="B106" s="49" t="s">
        <v>256</v>
      </c>
      <c r="C106" s="24">
        <f>67.5+O88</f>
        <v>68.5</v>
      </c>
      <c r="D106" s="28">
        <f t="shared" si="19"/>
        <v>69.5</v>
      </c>
      <c r="E106" s="28">
        <f t="shared" si="20"/>
        <v>67.5</v>
      </c>
      <c r="F106" s="31">
        <f t="shared" si="15"/>
        <v>10.430385206350735</v>
      </c>
      <c r="G106" s="31">
        <f t="shared" si="16"/>
        <v>8.6919876719589464</v>
      </c>
      <c r="H106" s="31">
        <f t="shared" si="17"/>
        <v>12.168782740742524</v>
      </c>
      <c r="I106" s="65">
        <v>31.291155619052205</v>
      </c>
      <c r="J106" s="65">
        <v>26.075963015876837</v>
      </c>
      <c r="K106" s="65">
        <v>36.506348222227572</v>
      </c>
      <c r="L106" s="65">
        <v>6000</v>
      </c>
      <c r="M106" s="31">
        <v>2000</v>
      </c>
      <c r="N106" s="50" t="s">
        <v>404</v>
      </c>
      <c r="O106" s="61" t="s">
        <v>42</v>
      </c>
      <c r="P106" s="13" t="s">
        <v>460</v>
      </c>
      <c r="Q106" s="102">
        <v>32.04</v>
      </c>
      <c r="S106" s="30"/>
      <c r="T106" s="53">
        <v>743.25001665530499</v>
      </c>
      <c r="U106" s="103">
        <v>688.37080087156221</v>
      </c>
      <c r="V106" s="103">
        <v>906.16996128715425</v>
      </c>
      <c r="W106" s="61" t="s">
        <v>174</v>
      </c>
      <c r="X106" s="13" t="s">
        <v>96</v>
      </c>
      <c r="Y106" s="79" t="s">
        <v>343</v>
      </c>
      <c r="Z106" s="14">
        <f t="shared" si="21"/>
        <v>168</v>
      </c>
      <c r="AA106" s="14">
        <v>168.3</v>
      </c>
      <c r="AB106" s="14">
        <v>167.7</v>
      </c>
      <c r="AC106" s="31">
        <f t="shared" si="22"/>
        <v>926.30928813559331</v>
      </c>
      <c r="AD106" s="31">
        <v>617.53952542372883</v>
      </c>
      <c r="AE106" s="9">
        <f t="shared" si="23"/>
        <v>1235.0790508474577</v>
      </c>
      <c r="AF106" s="61" t="s">
        <v>118</v>
      </c>
      <c r="AG106" s="61" t="s">
        <v>42</v>
      </c>
      <c r="AQ106" s="79"/>
    </row>
    <row r="107" spans="1:43">
      <c r="A107" s="23" t="s">
        <v>74</v>
      </c>
      <c r="B107" s="49" t="s">
        <v>256</v>
      </c>
      <c r="C107" s="24">
        <f>67.66+O88</f>
        <v>68.66</v>
      </c>
      <c r="D107" s="28">
        <f t="shared" si="19"/>
        <v>69.66</v>
      </c>
      <c r="E107" s="28">
        <f t="shared" si="20"/>
        <v>67.66</v>
      </c>
      <c r="F107" s="31">
        <f t="shared" si="15"/>
        <v>170.68998632249765</v>
      </c>
      <c r="G107" s="31">
        <f t="shared" si="16"/>
        <v>142.24165526874805</v>
      </c>
      <c r="H107" s="31">
        <f t="shared" si="17"/>
        <v>199.13831737624724</v>
      </c>
      <c r="I107" s="65">
        <v>512.06995896749299</v>
      </c>
      <c r="J107" s="65">
        <v>426.72496580624414</v>
      </c>
      <c r="K107" s="65">
        <v>597.41495212874179</v>
      </c>
      <c r="L107" s="65">
        <v>6000</v>
      </c>
      <c r="M107" s="31">
        <v>2000</v>
      </c>
      <c r="N107" s="50" t="s">
        <v>404</v>
      </c>
      <c r="O107" s="61" t="s">
        <v>42</v>
      </c>
      <c r="P107" s="13" t="s">
        <v>460</v>
      </c>
      <c r="Q107" s="102">
        <v>32.58</v>
      </c>
      <c r="S107" s="30"/>
      <c r="T107" s="53">
        <v>756.36812580590868</v>
      </c>
      <c r="U107" s="103">
        <v>698.15911483736579</v>
      </c>
      <c r="V107" s="103">
        <v>925.2846538924789</v>
      </c>
      <c r="W107" s="61" t="s">
        <v>174</v>
      </c>
      <c r="X107" s="13" t="s">
        <v>96</v>
      </c>
      <c r="Y107" s="79" t="s">
        <v>212</v>
      </c>
      <c r="Z107" s="14">
        <f t="shared" si="21"/>
        <v>172.2</v>
      </c>
      <c r="AA107" s="14">
        <v>174.1</v>
      </c>
      <c r="AB107" s="14">
        <v>170.3</v>
      </c>
      <c r="AC107" s="31">
        <f t="shared" si="22"/>
        <v>895.93849180327879</v>
      </c>
      <c r="AD107" s="31">
        <v>597.29232786885257</v>
      </c>
      <c r="AE107" s="9">
        <f t="shared" si="23"/>
        <v>1194.5846557377051</v>
      </c>
      <c r="AF107" s="61" t="s">
        <v>118</v>
      </c>
      <c r="AG107" s="61" t="s">
        <v>42</v>
      </c>
      <c r="AQ107" s="79"/>
    </row>
    <row r="108" spans="1:43">
      <c r="A108" s="23" t="s">
        <v>74</v>
      </c>
      <c r="B108" s="49" t="s">
        <v>256</v>
      </c>
      <c r="C108" s="24">
        <f>67.81+O88</f>
        <v>68.81</v>
      </c>
      <c r="D108" s="28">
        <f t="shared" si="19"/>
        <v>69.81</v>
      </c>
      <c r="E108" s="28">
        <f t="shared" si="20"/>
        <v>67.81</v>
      </c>
      <c r="F108" s="31">
        <f t="shared" si="15"/>
        <v>109.7497738068309</v>
      </c>
      <c r="G108" s="31">
        <f t="shared" si="16"/>
        <v>91.458144839025749</v>
      </c>
      <c r="H108" s="31">
        <f t="shared" si="17"/>
        <v>128.04140277463605</v>
      </c>
      <c r="I108" s="65">
        <v>329.24932142049272</v>
      </c>
      <c r="J108" s="65">
        <v>274.37443451707725</v>
      </c>
      <c r="K108" s="65">
        <v>384.12420832390814</v>
      </c>
      <c r="L108" s="65">
        <v>6000</v>
      </c>
      <c r="M108" s="31">
        <v>2000</v>
      </c>
      <c r="N108" s="50" t="s">
        <v>404</v>
      </c>
      <c r="O108" s="61" t="s">
        <v>42</v>
      </c>
      <c r="P108" s="13" t="s">
        <v>460</v>
      </c>
      <c r="Q108" s="102">
        <v>32.83</v>
      </c>
      <c r="S108" s="30"/>
      <c r="T108" s="53">
        <v>740.47551179203026</v>
      </c>
      <c r="U108" s="103">
        <v>671.07085765001887</v>
      </c>
      <c r="V108" s="103">
        <v>922.61771245857597</v>
      </c>
      <c r="W108" s="61" t="s">
        <v>174</v>
      </c>
      <c r="X108" s="13" t="s">
        <v>96</v>
      </c>
      <c r="Y108" s="79" t="s">
        <v>342</v>
      </c>
      <c r="Z108" s="14">
        <f t="shared" si="21"/>
        <v>186.75</v>
      </c>
      <c r="AA108" s="14">
        <v>190.8</v>
      </c>
      <c r="AB108" s="14">
        <v>182.7</v>
      </c>
      <c r="AC108" s="31">
        <f t="shared" si="22"/>
        <v>942.28013793103457</v>
      </c>
      <c r="AD108" s="31">
        <v>628.18675862068972</v>
      </c>
      <c r="AE108" s="9">
        <f t="shared" si="23"/>
        <v>1256.3735172413794</v>
      </c>
      <c r="AF108" s="61" t="s">
        <v>118</v>
      </c>
      <c r="AG108" s="61" t="s">
        <v>42</v>
      </c>
      <c r="AQ108" s="79"/>
    </row>
    <row r="109" spans="1:43">
      <c r="A109" s="23" t="s">
        <v>74</v>
      </c>
      <c r="B109" s="49" t="s">
        <v>256</v>
      </c>
      <c r="C109" s="24">
        <f>67.98+O88</f>
        <v>68.98</v>
      </c>
      <c r="D109" s="28">
        <f t="shared" si="19"/>
        <v>69.98</v>
      </c>
      <c r="E109" s="28">
        <f t="shared" si="20"/>
        <v>67.98</v>
      </c>
      <c r="F109" s="31">
        <f t="shared" si="15"/>
        <v>158.3612981533399</v>
      </c>
      <c r="G109" s="31">
        <f t="shared" si="16"/>
        <v>131.9677484611166</v>
      </c>
      <c r="H109" s="31">
        <f t="shared" si="17"/>
        <v>184.75484784556321</v>
      </c>
      <c r="I109" s="65">
        <v>475.08389446001974</v>
      </c>
      <c r="J109" s="65">
        <v>395.90324538334977</v>
      </c>
      <c r="K109" s="65">
        <v>554.26454353668964</v>
      </c>
      <c r="L109" s="65">
        <v>6000</v>
      </c>
      <c r="M109" s="31">
        <v>2000</v>
      </c>
      <c r="N109" s="50" t="s">
        <v>404</v>
      </c>
      <c r="O109" s="61" t="s">
        <v>42</v>
      </c>
      <c r="P109" s="13" t="s">
        <v>460</v>
      </c>
      <c r="Q109" s="102">
        <v>32.909999999999997</v>
      </c>
      <c r="S109" s="30"/>
      <c r="T109" s="53">
        <v>723.4797872598815</v>
      </c>
      <c r="U109" s="103">
        <v>653.93375011016167</v>
      </c>
      <c r="V109" s="103">
        <v>903.82641989048011</v>
      </c>
      <c r="W109" s="61" t="s">
        <v>174</v>
      </c>
      <c r="X109" s="13" t="s">
        <v>88</v>
      </c>
      <c r="Y109" s="79" t="s">
        <v>344</v>
      </c>
      <c r="Z109" s="14">
        <f t="shared" si="21"/>
        <v>25.55</v>
      </c>
      <c r="AA109" s="14">
        <v>28.1</v>
      </c>
      <c r="AB109" s="14">
        <v>23</v>
      </c>
      <c r="AC109" s="31">
        <v>588.21600000000001</v>
      </c>
      <c r="AD109" s="9">
        <v>533</v>
      </c>
      <c r="AE109" s="9">
        <v>640</v>
      </c>
      <c r="AF109" s="61" t="s">
        <v>379</v>
      </c>
      <c r="AG109" s="61" t="s">
        <v>42</v>
      </c>
      <c r="AQ109" s="79"/>
    </row>
    <row r="110" spans="1:43">
      <c r="A110" s="23" t="s">
        <v>74</v>
      </c>
      <c r="B110" s="49" t="s">
        <v>256</v>
      </c>
      <c r="C110" s="24">
        <f>68.1+O88</f>
        <v>69.099999999999994</v>
      </c>
      <c r="D110" s="28">
        <f t="shared" si="19"/>
        <v>70.099999999999994</v>
      </c>
      <c r="E110" s="28">
        <f t="shared" si="20"/>
        <v>68.099999999999994</v>
      </c>
      <c r="F110" s="31">
        <f t="shared" si="15"/>
        <v>138.29381797366932</v>
      </c>
      <c r="G110" s="31">
        <f t="shared" si="16"/>
        <v>115.24484831139108</v>
      </c>
      <c r="H110" s="31">
        <f t="shared" si="17"/>
        <v>161.34278763594753</v>
      </c>
      <c r="I110" s="65">
        <v>414.8814539210079</v>
      </c>
      <c r="J110" s="65">
        <v>345.73454493417324</v>
      </c>
      <c r="K110" s="65">
        <v>484.02836290784256</v>
      </c>
      <c r="L110" s="65">
        <v>6000</v>
      </c>
      <c r="M110" s="31">
        <v>2000</v>
      </c>
      <c r="N110" s="50" t="s">
        <v>404</v>
      </c>
      <c r="O110" s="61" t="s">
        <v>42</v>
      </c>
      <c r="P110" s="13" t="s">
        <v>460</v>
      </c>
      <c r="Q110" s="102">
        <v>32.97</v>
      </c>
      <c r="S110" s="30"/>
      <c r="T110" s="53">
        <v>726.53587574576829</v>
      </c>
      <c r="U110" s="103">
        <v>653.44066469308086</v>
      </c>
      <c r="V110" s="103">
        <v>912.16938072227208</v>
      </c>
      <c r="W110" s="61" t="s">
        <v>174</v>
      </c>
      <c r="X110" s="13" t="s">
        <v>88</v>
      </c>
      <c r="Y110" s="79" t="s">
        <v>345</v>
      </c>
      <c r="Z110" s="14">
        <f t="shared" si="21"/>
        <v>22.1</v>
      </c>
      <c r="AA110" s="14">
        <v>23.6</v>
      </c>
      <c r="AB110" s="14">
        <v>20.6</v>
      </c>
      <c r="AC110" s="31">
        <v>333.26</v>
      </c>
      <c r="AD110" s="9">
        <v>277.7</v>
      </c>
      <c r="AE110" s="9">
        <v>387.3</v>
      </c>
      <c r="AF110" s="61" t="s">
        <v>379</v>
      </c>
      <c r="AG110" s="61" t="s">
        <v>42</v>
      </c>
      <c r="AQ110" s="79"/>
    </row>
    <row r="111" spans="1:43">
      <c r="A111" s="23" t="s">
        <v>74</v>
      </c>
      <c r="B111" s="49" t="s">
        <v>256</v>
      </c>
      <c r="C111" s="24">
        <f>68.25+O88</f>
        <v>69.25</v>
      </c>
      <c r="D111" s="28">
        <f t="shared" si="19"/>
        <v>70.25</v>
      </c>
      <c r="E111" s="28">
        <f t="shared" si="20"/>
        <v>68.25</v>
      </c>
      <c r="F111" s="31">
        <f t="shared" si="15"/>
        <v>202.23822012671329</v>
      </c>
      <c r="G111" s="31">
        <f t="shared" si="16"/>
        <v>168.53185010559437</v>
      </c>
      <c r="H111" s="31">
        <f t="shared" si="17"/>
        <v>235.94459014783214</v>
      </c>
      <c r="I111" s="65">
        <v>606.71466038013978</v>
      </c>
      <c r="J111" s="65">
        <v>505.59555031678315</v>
      </c>
      <c r="K111" s="65">
        <v>707.83377044349641</v>
      </c>
      <c r="L111" s="65">
        <v>6000</v>
      </c>
      <c r="M111" s="31">
        <v>2000</v>
      </c>
      <c r="N111" s="50" t="s">
        <v>404</v>
      </c>
      <c r="O111" s="61" t="s">
        <v>42</v>
      </c>
      <c r="P111" s="13" t="s">
        <v>460</v>
      </c>
      <c r="Q111" s="102">
        <v>33.450000000000003</v>
      </c>
      <c r="S111" s="30"/>
      <c r="T111" s="53">
        <v>766.54848173163668</v>
      </c>
      <c r="U111" s="103">
        <v>698.32665285478777</v>
      </c>
      <c r="V111" s="103">
        <v>950.14966639998727</v>
      </c>
      <c r="W111" s="61" t="s">
        <v>174</v>
      </c>
      <c r="X111" s="13" t="s">
        <v>88</v>
      </c>
      <c r="Y111" s="79" t="s">
        <v>346</v>
      </c>
      <c r="Z111" s="14">
        <f t="shared" si="21"/>
        <v>20</v>
      </c>
      <c r="AA111" s="14">
        <v>20.3</v>
      </c>
      <c r="AB111" s="14">
        <v>19.7</v>
      </c>
      <c r="AC111" s="31">
        <v>332.16</v>
      </c>
      <c r="AD111" s="9">
        <v>302.5</v>
      </c>
      <c r="AE111" s="9">
        <v>364.3</v>
      </c>
      <c r="AF111" s="61" t="s">
        <v>379</v>
      </c>
      <c r="AG111" s="61" t="s">
        <v>42</v>
      </c>
      <c r="AQ111" s="79"/>
    </row>
    <row r="112" spans="1:43">
      <c r="A112" s="23" t="s">
        <v>74</v>
      </c>
      <c r="B112" s="49" t="s">
        <v>256</v>
      </c>
      <c r="C112" s="24">
        <f>68.37+O88</f>
        <v>69.37</v>
      </c>
      <c r="D112" s="28">
        <f t="shared" si="19"/>
        <v>70.37</v>
      </c>
      <c r="E112" s="28">
        <f t="shared" si="20"/>
        <v>68.37</v>
      </c>
      <c r="F112" s="31">
        <f t="shared" si="15"/>
        <v>145.04004593081666</v>
      </c>
      <c r="G112" s="31">
        <f t="shared" si="16"/>
        <v>120.86670494234721</v>
      </c>
      <c r="H112" s="31">
        <f t="shared" si="17"/>
        <v>169.21338691928608</v>
      </c>
      <c r="I112" s="65">
        <v>435.12013779244995</v>
      </c>
      <c r="J112" s="65">
        <v>362.60011482704164</v>
      </c>
      <c r="K112" s="65">
        <v>507.64016075785827</v>
      </c>
      <c r="L112" s="65">
        <v>6000</v>
      </c>
      <c r="M112" s="31">
        <v>2000</v>
      </c>
      <c r="N112" s="50" t="s">
        <v>404</v>
      </c>
      <c r="O112" s="61" t="s">
        <v>42</v>
      </c>
      <c r="P112" s="13" t="s">
        <v>460</v>
      </c>
      <c r="Q112" s="102">
        <v>33.57</v>
      </c>
      <c r="S112" s="30"/>
      <c r="T112" s="53">
        <v>671.288802802536</v>
      </c>
      <c r="U112" s="103">
        <v>611.53107438482357</v>
      </c>
      <c r="V112" s="103">
        <v>832.05950049240312</v>
      </c>
      <c r="W112" s="61" t="s">
        <v>174</v>
      </c>
      <c r="X112" s="13" t="s">
        <v>88</v>
      </c>
      <c r="Y112" s="79" t="s">
        <v>346</v>
      </c>
      <c r="Z112" s="14">
        <f t="shared" si="21"/>
        <v>19</v>
      </c>
      <c r="AA112" s="14">
        <v>19.5</v>
      </c>
      <c r="AB112" s="14">
        <v>18.5</v>
      </c>
      <c r="AC112" s="31">
        <v>396.58600000000001</v>
      </c>
      <c r="AD112" s="9">
        <v>378.4</v>
      </c>
      <c r="AE112" s="9">
        <v>413.8</v>
      </c>
      <c r="AF112" s="61" t="s">
        <v>379</v>
      </c>
      <c r="AG112" s="61" t="s">
        <v>42</v>
      </c>
      <c r="AQ112" s="79"/>
    </row>
    <row r="113" spans="1:43">
      <c r="A113" s="23" t="s">
        <v>74</v>
      </c>
      <c r="B113" s="49" t="s">
        <v>256</v>
      </c>
      <c r="C113" s="24">
        <f>68.53+O88</f>
        <v>69.53</v>
      </c>
      <c r="D113" s="28">
        <f t="shared" si="19"/>
        <v>70.53</v>
      </c>
      <c r="E113" s="28">
        <f t="shared" si="20"/>
        <v>68.53</v>
      </c>
      <c r="F113" s="31">
        <f t="shared" si="15"/>
        <v>344.56743864934447</v>
      </c>
      <c r="G113" s="31">
        <f t="shared" si="16"/>
        <v>287.13953220778706</v>
      </c>
      <c r="H113" s="31">
        <f t="shared" si="17"/>
        <v>401.99534509090194</v>
      </c>
      <c r="I113" s="65">
        <v>1033.7023159480334</v>
      </c>
      <c r="J113" s="65">
        <v>861.41859662336117</v>
      </c>
      <c r="K113" s="65">
        <v>1205.9860352727057</v>
      </c>
      <c r="L113" s="65">
        <v>6000</v>
      </c>
      <c r="M113" s="31">
        <v>2000</v>
      </c>
      <c r="N113" s="50" t="s">
        <v>404</v>
      </c>
      <c r="O113" s="61" t="s">
        <v>42</v>
      </c>
      <c r="P113" s="13" t="s">
        <v>460</v>
      </c>
      <c r="Q113" s="102">
        <v>33.69</v>
      </c>
      <c r="S113" s="30"/>
      <c r="T113" s="53">
        <v>929.63204246099986</v>
      </c>
      <c r="U113" s="103">
        <v>791.61387353932935</v>
      </c>
      <c r="V113" s="103">
        <v>1234.1470196127855</v>
      </c>
      <c r="W113" s="61" t="s">
        <v>174</v>
      </c>
      <c r="X113" s="13" t="s">
        <v>88</v>
      </c>
      <c r="Y113" s="79" t="s">
        <v>346</v>
      </c>
      <c r="Z113" s="14">
        <f t="shared" si="21"/>
        <v>19</v>
      </c>
      <c r="AA113" s="14">
        <v>19.2</v>
      </c>
      <c r="AB113" s="14">
        <v>18.8</v>
      </c>
      <c r="AC113" s="31">
        <v>458.81099999999998</v>
      </c>
      <c r="AD113" s="9">
        <v>435</v>
      </c>
      <c r="AE113" s="9">
        <v>480.9</v>
      </c>
      <c r="AF113" s="61" t="s">
        <v>379</v>
      </c>
      <c r="AG113" s="61" t="s">
        <v>42</v>
      </c>
      <c r="AQ113" s="79"/>
    </row>
    <row r="114" spans="1:43">
      <c r="A114" s="23" t="s">
        <v>74</v>
      </c>
      <c r="B114" s="49" t="s">
        <v>256</v>
      </c>
      <c r="C114" s="24">
        <f>68.69+O88</f>
        <v>69.69</v>
      </c>
      <c r="D114" s="28">
        <f t="shared" si="19"/>
        <v>70.69</v>
      </c>
      <c r="E114" s="28">
        <f t="shared" si="20"/>
        <v>68.69</v>
      </c>
      <c r="F114" s="31">
        <f t="shared" si="15"/>
        <v>203.57725878744944</v>
      </c>
      <c r="G114" s="31">
        <f t="shared" si="16"/>
        <v>169.64771565620788</v>
      </c>
      <c r="H114" s="31">
        <f t="shared" si="17"/>
        <v>237.50680191869102</v>
      </c>
      <c r="I114" s="65">
        <v>610.73177636234834</v>
      </c>
      <c r="J114" s="65">
        <v>508.94314696862364</v>
      </c>
      <c r="K114" s="65">
        <v>712.52040575607305</v>
      </c>
      <c r="L114" s="65">
        <v>6000</v>
      </c>
      <c r="M114" s="31">
        <v>2000</v>
      </c>
      <c r="N114" s="50" t="s">
        <v>404</v>
      </c>
      <c r="O114" s="61" t="s">
        <v>42</v>
      </c>
      <c r="P114" s="13" t="s">
        <v>460</v>
      </c>
      <c r="Q114" s="102">
        <v>34.69</v>
      </c>
      <c r="S114" s="30"/>
      <c r="T114" s="53">
        <v>1038.2176086814422</v>
      </c>
      <c r="U114" s="103">
        <v>952.75884087602503</v>
      </c>
      <c r="V114" s="103">
        <v>1277.5539143342696</v>
      </c>
      <c r="W114" s="61" t="s">
        <v>174</v>
      </c>
      <c r="X114" s="13" t="s">
        <v>88</v>
      </c>
      <c r="Y114" s="79" t="s">
        <v>347</v>
      </c>
      <c r="Z114" s="14">
        <f t="shared" si="21"/>
        <v>17.600000000000001</v>
      </c>
      <c r="AA114" s="14">
        <v>18</v>
      </c>
      <c r="AB114" s="14">
        <v>17.2</v>
      </c>
      <c r="AC114" s="31">
        <v>374.00900000000001</v>
      </c>
      <c r="AD114" s="9">
        <v>362.5</v>
      </c>
      <c r="AE114" s="9">
        <v>385</v>
      </c>
      <c r="AF114" s="61" t="s">
        <v>379</v>
      </c>
      <c r="AG114" s="61" t="s">
        <v>42</v>
      </c>
      <c r="AQ114" s="79"/>
    </row>
    <row r="115" spans="1:43">
      <c r="A115" s="23" t="s">
        <v>74</v>
      </c>
      <c r="B115" s="49" t="s">
        <v>256</v>
      </c>
      <c r="C115" s="24">
        <f>68.88+O88</f>
        <v>69.88</v>
      </c>
      <c r="D115" s="28">
        <f t="shared" si="19"/>
        <v>70.88</v>
      </c>
      <c r="E115" s="28">
        <f t="shared" si="20"/>
        <v>68.88</v>
      </c>
      <c r="F115" s="31">
        <f t="shared" si="15"/>
        <v>309.11131014886683</v>
      </c>
      <c r="G115" s="31">
        <f t="shared" si="16"/>
        <v>257.59275845738898</v>
      </c>
      <c r="H115" s="31">
        <f t="shared" si="17"/>
        <v>360.62986184034463</v>
      </c>
      <c r="I115" s="65">
        <v>927.33393044660056</v>
      </c>
      <c r="J115" s="65">
        <v>772.77827537216706</v>
      </c>
      <c r="K115" s="65">
        <v>1081.889585521034</v>
      </c>
      <c r="L115" s="65">
        <v>6000</v>
      </c>
      <c r="M115" s="31">
        <v>2000</v>
      </c>
      <c r="N115" s="50" t="s">
        <v>404</v>
      </c>
      <c r="O115" s="61" t="s">
        <v>42</v>
      </c>
      <c r="P115" s="13" t="s">
        <v>460</v>
      </c>
      <c r="Q115" s="102">
        <v>35.29</v>
      </c>
      <c r="S115" s="30"/>
      <c r="T115" s="53">
        <v>878.89004969250868</v>
      </c>
      <c r="U115" s="103">
        <v>813.16503893173774</v>
      </c>
      <c r="V115" s="103">
        <v>1072.6448317013287</v>
      </c>
      <c r="W115" s="61" t="s">
        <v>174</v>
      </c>
      <c r="X115" s="13" t="s">
        <v>88</v>
      </c>
      <c r="Y115" s="79" t="s">
        <v>347</v>
      </c>
      <c r="Z115" s="14">
        <f t="shared" si="21"/>
        <v>17.579999999999998</v>
      </c>
      <c r="AA115" s="14">
        <v>17.96</v>
      </c>
      <c r="AB115" s="14">
        <v>17.2</v>
      </c>
      <c r="AC115" s="31">
        <v>340.96899999999999</v>
      </c>
      <c r="AD115" s="9">
        <v>323.7</v>
      </c>
      <c r="AE115" s="9">
        <v>355.5</v>
      </c>
      <c r="AF115" s="61" t="s">
        <v>379</v>
      </c>
      <c r="AG115" s="61" t="s">
        <v>42</v>
      </c>
      <c r="AQ115" s="79"/>
    </row>
    <row r="116" spans="1:43">
      <c r="A116" s="23" t="s">
        <v>74</v>
      </c>
      <c r="B116" s="49" t="s">
        <v>256</v>
      </c>
      <c r="C116" s="24">
        <f>69+O88</f>
        <v>70</v>
      </c>
      <c r="D116" s="28">
        <f t="shared" si="19"/>
        <v>71</v>
      </c>
      <c r="E116" s="28">
        <f t="shared" si="20"/>
        <v>69</v>
      </c>
      <c r="F116" s="31">
        <f t="shared" si="15"/>
        <v>375.4600076297051</v>
      </c>
      <c r="G116" s="31">
        <f t="shared" si="16"/>
        <v>312.88333969142099</v>
      </c>
      <c r="H116" s="31">
        <f t="shared" si="17"/>
        <v>438.03667556798933</v>
      </c>
      <c r="I116" s="65">
        <v>1126.3800228891155</v>
      </c>
      <c r="J116" s="65">
        <v>938.6500190742629</v>
      </c>
      <c r="K116" s="65">
        <v>1314.1100267039681</v>
      </c>
      <c r="L116" s="65">
        <v>6000</v>
      </c>
      <c r="M116" s="31">
        <v>2000</v>
      </c>
      <c r="N116" s="50" t="s">
        <v>404</v>
      </c>
      <c r="O116" s="61" t="s">
        <v>42</v>
      </c>
      <c r="P116" s="13" t="s">
        <v>460</v>
      </c>
      <c r="Q116" s="102">
        <v>35.56</v>
      </c>
      <c r="S116" s="30"/>
      <c r="T116" s="53">
        <v>918.54077500727442</v>
      </c>
      <c r="U116" s="103">
        <v>824.9062596031747</v>
      </c>
      <c r="V116" s="103">
        <v>1155.1317533737783</v>
      </c>
      <c r="W116" s="61" t="s">
        <v>174</v>
      </c>
      <c r="X116" s="13" t="s">
        <v>88</v>
      </c>
      <c r="Y116" s="79" t="s">
        <v>347</v>
      </c>
      <c r="Z116" s="14">
        <f t="shared" si="21"/>
        <v>17.600000000000001</v>
      </c>
      <c r="AA116" s="14">
        <v>18</v>
      </c>
      <c r="AB116" s="14">
        <v>17.2</v>
      </c>
      <c r="AC116" s="31">
        <v>388.32600000000002</v>
      </c>
      <c r="AD116" s="9">
        <v>346.6</v>
      </c>
      <c r="AE116" s="9">
        <v>429.7</v>
      </c>
      <c r="AF116" s="61" t="s">
        <v>379</v>
      </c>
      <c r="AG116" s="61" t="s">
        <v>42</v>
      </c>
      <c r="AQ116" s="79"/>
    </row>
    <row r="117" spans="1:43">
      <c r="A117" s="23" t="s">
        <v>74</v>
      </c>
      <c r="B117" s="49" t="s">
        <v>256</v>
      </c>
      <c r="C117" s="24">
        <f>69.06+O88</f>
        <v>70.06</v>
      </c>
      <c r="D117" s="28">
        <f t="shared" si="19"/>
        <v>71.06</v>
      </c>
      <c r="E117" s="28">
        <f t="shared" si="20"/>
        <v>69.06</v>
      </c>
      <c r="F117" s="31">
        <f t="shared" si="15"/>
        <v>328.6733358264766</v>
      </c>
      <c r="G117" s="31">
        <f t="shared" si="16"/>
        <v>273.89444652206384</v>
      </c>
      <c r="H117" s="31">
        <f t="shared" si="17"/>
        <v>383.45222513088942</v>
      </c>
      <c r="I117" s="65">
        <v>986.02000747942986</v>
      </c>
      <c r="J117" s="65">
        <v>821.68333956619153</v>
      </c>
      <c r="K117" s="65">
        <v>1150.3566753926682</v>
      </c>
      <c r="L117" s="65">
        <v>6000</v>
      </c>
      <c r="M117" s="31">
        <v>2000</v>
      </c>
      <c r="N117" s="50" t="s">
        <v>404</v>
      </c>
      <c r="O117" s="61" t="s">
        <v>42</v>
      </c>
      <c r="P117" s="13" t="s">
        <v>460</v>
      </c>
      <c r="Q117" s="102">
        <v>35.86</v>
      </c>
      <c r="S117" s="30"/>
      <c r="T117" s="53">
        <v>947.35084501642825</v>
      </c>
      <c r="U117" s="103">
        <v>881.27177359954374</v>
      </c>
      <c r="V117" s="103">
        <v>1149.93747865468</v>
      </c>
      <c r="W117" s="61" t="s">
        <v>174</v>
      </c>
      <c r="X117" s="13" t="s">
        <v>88</v>
      </c>
      <c r="Y117" s="79" t="s">
        <v>348</v>
      </c>
      <c r="Z117" s="14">
        <f t="shared" si="21"/>
        <v>16.95</v>
      </c>
      <c r="AA117" s="14">
        <v>17.5</v>
      </c>
      <c r="AB117" s="14">
        <v>16.399999999999999</v>
      </c>
      <c r="AC117" s="31">
        <v>393.28199999999998</v>
      </c>
      <c r="AD117" s="9">
        <v>373.1</v>
      </c>
      <c r="AE117" s="9">
        <v>412</v>
      </c>
      <c r="AF117" s="61" t="s">
        <v>379</v>
      </c>
      <c r="AG117" s="61" t="s">
        <v>42</v>
      </c>
      <c r="AQ117" s="79"/>
    </row>
    <row r="118" spans="1:43">
      <c r="A118" s="23" t="s">
        <v>74</v>
      </c>
      <c r="B118" s="49" t="s">
        <v>256</v>
      </c>
      <c r="C118" s="24">
        <f>69.2+O88</f>
        <v>70.2</v>
      </c>
      <c r="D118" s="28">
        <f t="shared" si="19"/>
        <v>71.2</v>
      </c>
      <c r="E118" s="28">
        <f t="shared" si="20"/>
        <v>69.2</v>
      </c>
      <c r="F118" s="31">
        <f t="shared" si="15"/>
        <v>121.5919931856899</v>
      </c>
      <c r="G118" s="31">
        <f t="shared" si="16"/>
        <v>101.32666098807492</v>
      </c>
      <c r="H118" s="31">
        <f t="shared" si="17"/>
        <v>141.8573253833049</v>
      </c>
      <c r="I118" s="65">
        <v>364.77597955706972</v>
      </c>
      <c r="J118" s="65">
        <v>303.97998296422475</v>
      </c>
      <c r="K118" s="65">
        <v>425.57197614991469</v>
      </c>
      <c r="L118" s="65">
        <v>6000</v>
      </c>
      <c r="M118" s="31">
        <v>2000</v>
      </c>
      <c r="N118" s="50" t="s">
        <v>404</v>
      </c>
      <c r="O118" s="61" t="s">
        <v>42</v>
      </c>
      <c r="P118" s="13" t="s">
        <v>460</v>
      </c>
      <c r="Q118" s="102">
        <v>36.090000000000003</v>
      </c>
      <c r="S118" s="30"/>
      <c r="T118" s="53">
        <v>1131.5863251087626</v>
      </c>
      <c r="U118" s="103">
        <v>1031.7463136277815</v>
      </c>
      <c r="V118" s="103">
        <v>1401.5808120719109</v>
      </c>
      <c r="W118" s="61" t="s">
        <v>174</v>
      </c>
      <c r="X118" s="13" t="s">
        <v>88</v>
      </c>
      <c r="Y118" s="79" t="s">
        <v>349</v>
      </c>
      <c r="Z118" s="14">
        <f t="shared" si="21"/>
        <v>16.799999999999997</v>
      </c>
      <c r="AA118" s="14">
        <v>17.2</v>
      </c>
      <c r="AB118" s="14">
        <v>16.399999999999999</v>
      </c>
      <c r="AC118" s="31">
        <v>424.67</v>
      </c>
      <c r="AD118" s="9">
        <v>412</v>
      </c>
      <c r="AE118" s="9">
        <v>452.7</v>
      </c>
      <c r="AF118" s="61" t="s">
        <v>379</v>
      </c>
      <c r="AG118" s="61" t="s">
        <v>42</v>
      </c>
      <c r="AQ118" s="79"/>
    </row>
    <row r="119" spans="1:43">
      <c r="A119" s="23" t="s">
        <v>74</v>
      </c>
      <c r="B119" s="49" t="s">
        <v>256</v>
      </c>
      <c r="C119" s="24">
        <f>69.33+O88</f>
        <v>70.33</v>
      </c>
      <c r="D119" s="28">
        <f t="shared" si="19"/>
        <v>71.33</v>
      </c>
      <c r="E119" s="28">
        <f t="shared" si="20"/>
        <v>69.33</v>
      </c>
      <c r="F119" s="31">
        <f t="shared" si="15"/>
        <v>38.192725091345459</v>
      </c>
      <c r="G119" s="31">
        <f t="shared" si="16"/>
        <v>31.827270909454548</v>
      </c>
      <c r="H119" s="31">
        <f t="shared" si="17"/>
        <v>44.558179273236355</v>
      </c>
      <c r="I119" s="65">
        <v>114.57817527403637</v>
      </c>
      <c r="J119" s="65">
        <v>95.481812728363636</v>
      </c>
      <c r="K119" s="65">
        <v>133.67453781970909</v>
      </c>
      <c r="L119" s="65">
        <v>6000</v>
      </c>
      <c r="M119" s="31">
        <v>2000</v>
      </c>
      <c r="N119" s="50" t="s">
        <v>404</v>
      </c>
      <c r="O119" s="61" t="s">
        <v>42</v>
      </c>
      <c r="P119" s="13" t="s">
        <v>460</v>
      </c>
      <c r="Q119" s="102">
        <v>36.479999999999997</v>
      </c>
      <c r="S119" s="30"/>
      <c r="T119" s="53">
        <v>2622.2796253591955</v>
      </c>
      <c r="U119" s="103">
        <v>2417.2779271642362</v>
      </c>
      <c r="V119" s="103">
        <v>3212.4376832698513</v>
      </c>
      <c r="W119" s="61" t="s">
        <v>174</v>
      </c>
      <c r="X119" s="13" t="s">
        <v>88</v>
      </c>
      <c r="Y119" s="79" t="s">
        <v>349</v>
      </c>
      <c r="Z119" s="14">
        <f t="shared" si="21"/>
        <v>16.48</v>
      </c>
      <c r="AA119" s="14">
        <v>17.47</v>
      </c>
      <c r="AB119" s="14">
        <v>15.49</v>
      </c>
      <c r="AC119" s="31">
        <v>393.28</v>
      </c>
      <c r="AD119" s="9">
        <v>357.2</v>
      </c>
      <c r="AE119" s="9">
        <v>427.9</v>
      </c>
      <c r="AF119" s="61" t="s">
        <v>379</v>
      </c>
      <c r="AG119" s="61" t="s">
        <v>42</v>
      </c>
      <c r="AQ119" s="79"/>
    </row>
    <row r="120" spans="1:43">
      <c r="A120" s="23" t="s">
        <v>74</v>
      </c>
      <c r="B120" s="49" t="s">
        <v>256</v>
      </c>
      <c r="C120" s="24">
        <f>69.49+O88</f>
        <v>70.489999999999995</v>
      </c>
      <c r="D120" s="28">
        <f t="shared" si="19"/>
        <v>71.489999999999995</v>
      </c>
      <c r="E120" s="28">
        <f t="shared" si="20"/>
        <v>69.489999999999995</v>
      </c>
      <c r="F120" s="31">
        <f t="shared" si="15"/>
        <v>125.89250916115131</v>
      </c>
      <c r="G120" s="31">
        <f t="shared" si="16"/>
        <v>104.91042430095941</v>
      </c>
      <c r="H120" s="31">
        <f t="shared" si="17"/>
        <v>146.8745940213432</v>
      </c>
      <c r="I120" s="65">
        <v>377.6775274834539</v>
      </c>
      <c r="J120" s="65">
        <v>314.73127290287823</v>
      </c>
      <c r="K120" s="65">
        <v>440.62378206402957</v>
      </c>
      <c r="L120" s="65">
        <v>6000</v>
      </c>
      <c r="M120" s="31">
        <v>2000</v>
      </c>
      <c r="N120" s="50" t="s">
        <v>404</v>
      </c>
      <c r="O120" s="61" t="s">
        <v>42</v>
      </c>
      <c r="P120" s="13" t="s">
        <v>460</v>
      </c>
      <c r="Q120" s="102">
        <v>36.81</v>
      </c>
      <c r="S120" s="30"/>
      <c r="T120" s="53">
        <v>1246.998486771892</v>
      </c>
      <c r="U120" s="103">
        <v>1086.945007348457</v>
      </c>
      <c r="V120" s="103">
        <v>1617.3851651792379</v>
      </c>
      <c r="W120" s="61" t="s">
        <v>174</v>
      </c>
      <c r="X120" s="13" t="s">
        <v>133</v>
      </c>
      <c r="Y120" s="79" t="s">
        <v>349</v>
      </c>
      <c r="Z120" s="14">
        <f t="shared" si="21"/>
        <v>15.79</v>
      </c>
      <c r="AA120" s="14">
        <v>16.02</v>
      </c>
      <c r="AB120" s="14">
        <v>15.56</v>
      </c>
      <c r="AC120" s="31">
        <v>564</v>
      </c>
      <c r="AD120" s="9">
        <v>350</v>
      </c>
      <c r="AE120" s="9">
        <v>793</v>
      </c>
      <c r="AF120" s="61" t="s">
        <v>376</v>
      </c>
      <c r="AG120" s="61" t="s">
        <v>42</v>
      </c>
      <c r="AQ120" s="79"/>
    </row>
    <row r="121" spans="1:43">
      <c r="A121" s="23" t="s">
        <v>74</v>
      </c>
      <c r="B121" s="49" t="s">
        <v>256</v>
      </c>
      <c r="C121" s="24">
        <f>70.35+O88</f>
        <v>71.349999999999994</v>
      </c>
      <c r="D121" s="28">
        <f t="shared" si="19"/>
        <v>72.349999999999994</v>
      </c>
      <c r="E121" s="28">
        <f t="shared" si="20"/>
        <v>70.349999999999994</v>
      </c>
      <c r="F121" s="31">
        <f t="shared" si="15"/>
        <v>254.20821211121407</v>
      </c>
      <c r="G121" s="31">
        <f t="shared" si="16"/>
        <v>211.84017675934507</v>
      </c>
      <c r="H121" s="31">
        <f t="shared" si="17"/>
        <v>296.57624746308306</v>
      </c>
      <c r="I121" s="65">
        <v>762.62463633364223</v>
      </c>
      <c r="J121" s="65">
        <v>635.52053027803515</v>
      </c>
      <c r="K121" s="65">
        <v>889.72874238924931</v>
      </c>
      <c r="L121" s="65">
        <v>6000</v>
      </c>
      <c r="M121" s="31">
        <v>2000</v>
      </c>
      <c r="N121" s="50" t="s">
        <v>404</v>
      </c>
      <c r="O121" s="61" t="s">
        <v>42</v>
      </c>
      <c r="P121" s="13" t="s">
        <v>460</v>
      </c>
      <c r="Q121" s="102">
        <v>37.1</v>
      </c>
      <c r="S121" s="30"/>
      <c r="T121" s="53">
        <v>939.18732955135772</v>
      </c>
      <c r="U121" s="103">
        <v>876.98363549737678</v>
      </c>
      <c r="V121" s="103">
        <v>1135.7281345814217</v>
      </c>
      <c r="W121" s="61" t="s">
        <v>174</v>
      </c>
      <c r="X121" s="13" t="s">
        <v>133</v>
      </c>
      <c r="Y121" s="79" t="s">
        <v>349</v>
      </c>
      <c r="Z121" s="14">
        <f t="shared" si="21"/>
        <v>15.7</v>
      </c>
      <c r="AA121" s="14">
        <v>16.399999999999999</v>
      </c>
      <c r="AB121" s="14">
        <v>15</v>
      </c>
      <c r="AC121" s="31">
        <v>555</v>
      </c>
      <c r="AD121" s="9">
        <v>371</v>
      </c>
      <c r="AE121" s="9">
        <v>788</v>
      </c>
      <c r="AF121" s="61" t="s">
        <v>376</v>
      </c>
      <c r="AG121" s="61" t="s">
        <v>42</v>
      </c>
      <c r="AQ121" s="79"/>
    </row>
    <row r="122" spans="1:43">
      <c r="A122" s="23" t="s">
        <v>74</v>
      </c>
      <c r="B122" s="49" t="s">
        <v>256</v>
      </c>
      <c r="C122" s="24">
        <f>70.45+O88</f>
        <v>71.45</v>
      </c>
      <c r="D122" s="28">
        <f t="shared" si="19"/>
        <v>72.45</v>
      </c>
      <c r="E122" s="28">
        <f t="shared" si="20"/>
        <v>70.45</v>
      </c>
      <c r="F122" s="31">
        <f t="shared" si="15"/>
        <v>289.24752656093062</v>
      </c>
      <c r="G122" s="31">
        <f t="shared" si="16"/>
        <v>241.03960546744219</v>
      </c>
      <c r="H122" s="31">
        <f t="shared" si="17"/>
        <v>337.45544765441912</v>
      </c>
      <c r="I122" s="65">
        <v>867.74257968279198</v>
      </c>
      <c r="J122" s="65">
        <v>723.11881640232662</v>
      </c>
      <c r="K122" s="65">
        <v>1012.3663429632574</v>
      </c>
      <c r="L122" s="65">
        <v>6000</v>
      </c>
      <c r="M122" s="31">
        <v>2000</v>
      </c>
      <c r="N122" s="50" t="s">
        <v>404</v>
      </c>
      <c r="O122" s="61" t="s">
        <v>42</v>
      </c>
      <c r="P122" s="13" t="s">
        <v>460</v>
      </c>
      <c r="Q122" s="102">
        <v>37.43</v>
      </c>
      <c r="S122" s="30"/>
      <c r="T122" s="53">
        <v>1042.3045575098281</v>
      </c>
      <c r="U122" s="103">
        <v>937.68822843180567</v>
      </c>
      <c r="V122" s="103">
        <v>1308.5813922548386</v>
      </c>
      <c r="W122" s="61" t="s">
        <v>174</v>
      </c>
      <c r="X122" s="13" t="s">
        <v>133</v>
      </c>
      <c r="Y122" s="79" t="s">
        <v>349</v>
      </c>
      <c r="Z122" s="14">
        <f t="shared" si="21"/>
        <v>15.7</v>
      </c>
      <c r="AA122" s="14">
        <v>16.399999999999999</v>
      </c>
      <c r="AB122" s="14">
        <v>15</v>
      </c>
      <c r="AC122" s="31">
        <v>552</v>
      </c>
      <c r="AD122" s="9">
        <v>357</v>
      </c>
      <c r="AE122" s="9">
        <v>787</v>
      </c>
      <c r="AF122" s="61" t="s">
        <v>376</v>
      </c>
      <c r="AG122" s="61" t="s">
        <v>42</v>
      </c>
      <c r="AQ122" s="79"/>
    </row>
    <row r="123" spans="1:43">
      <c r="A123" s="23" t="s">
        <v>74</v>
      </c>
      <c r="B123" s="49" t="s">
        <v>256</v>
      </c>
      <c r="C123" s="24">
        <f>70.6+O88</f>
        <v>71.599999999999994</v>
      </c>
      <c r="D123" s="28">
        <f t="shared" si="19"/>
        <v>72.599999999999994</v>
      </c>
      <c r="E123" s="28">
        <f t="shared" si="20"/>
        <v>70.599999999999994</v>
      </c>
      <c r="F123" s="31">
        <f t="shared" si="15"/>
        <v>294.346228948011</v>
      </c>
      <c r="G123" s="31">
        <f t="shared" si="16"/>
        <v>245.28852412334251</v>
      </c>
      <c r="H123" s="31">
        <f t="shared" si="17"/>
        <v>343.40393377267947</v>
      </c>
      <c r="I123" s="65">
        <v>883.03868684403301</v>
      </c>
      <c r="J123" s="65">
        <v>735.86557237002751</v>
      </c>
      <c r="K123" s="65">
        <v>1030.2118013180384</v>
      </c>
      <c r="L123" s="65">
        <v>6000</v>
      </c>
      <c r="M123" s="31">
        <v>2000</v>
      </c>
      <c r="N123" s="50" t="s">
        <v>404</v>
      </c>
      <c r="O123" s="61" t="s">
        <v>42</v>
      </c>
      <c r="P123" s="13" t="s">
        <v>460</v>
      </c>
      <c r="Q123" s="102">
        <v>38.549999999999997</v>
      </c>
      <c r="S123" s="30"/>
      <c r="T123" s="53">
        <v>797.56918516353301</v>
      </c>
      <c r="U123" s="103">
        <v>737.01219701364198</v>
      </c>
      <c r="V123" s="103">
        <v>974.5999693730804</v>
      </c>
      <c r="W123" s="61" t="s">
        <v>174</v>
      </c>
      <c r="X123" s="13" t="s">
        <v>88</v>
      </c>
      <c r="Y123" s="79" t="s">
        <v>349</v>
      </c>
      <c r="Z123" s="14">
        <f t="shared" si="21"/>
        <v>15.7</v>
      </c>
      <c r="AA123" s="14">
        <v>16.399999999999999</v>
      </c>
      <c r="AB123" s="14">
        <v>15</v>
      </c>
      <c r="AC123" s="31">
        <v>449</v>
      </c>
      <c r="AD123" s="9">
        <v>410</v>
      </c>
      <c r="AE123" s="9">
        <v>469.27300000000002</v>
      </c>
      <c r="AF123" s="61" t="s">
        <v>379</v>
      </c>
      <c r="AG123" s="61" t="s">
        <v>42</v>
      </c>
      <c r="AQ123" s="79"/>
    </row>
    <row r="124" spans="1:43">
      <c r="A124" s="16" t="s">
        <v>75</v>
      </c>
      <c r="B124" s="60" t="s">
        <v>257</v>
      </c>
      <c r="C124" s="18">
        <f t="shared" ref="C124:C136" si="24">AVERAGE(D124:E124)</f>
        <v>280.64999999999998</v>
      </c>
      <c r="D124" s="28">
        <v>282</v>
      </c>
      <c r="E124" s="28">
        <v>279.3</v>
      </c>
      <c r="F124" s="31">
        <f t="shared" si="15"/>
        <v>133.33333333333334</v>
      </c>
      <c r="G124" s="31">
        <f t="shared" si="16"/>
        <v>80</v>
      </c>
      <c r="H124" s="31">
        <f t="shared" si="17"/>
        <v>266.66666666666669</v>
      </c>
      <c r="I124" s="66">
        <v>500</v>
      </c>
      <c r="J124" s="66">
        <v>300</v>
      </c>
      <c r="K124" s="66">
        <v>1000</v>
      </c>
      <c r="L124" s="66">
        <v>7500</v>
      </c>
      <c r="M124" s="31">
        <v>2000</v>
      </c>
      <c r="N124" s="31"/>
      <c r="O124" s="61" t="s">
        <v>42</v>
      </c>
      <c r="P124" s="13" t="s">
        <v>460</v>
      </c>
      <c r="Q124" s="102">
        <v>38.25</v>
      </c>
      <c r="S124" s="30"/>
      <c r="T124" s="53">
        <v>898.45412327063036</v>
      </c>
      <c r="U124" s="103">
        <v>801.79596643490129</v>
      </c>
      <c r="V124" s="103">
        <v>1137.0571841633732</v>
      </c>
      <c r="W124" s="61" t="s">
        <v>174</v>
      </c>
      <c r="X124" s="13" t="s">
        <v>133</v>
      </c>
      <c r="Y124" s="79" t="s">
        <v>350</v>
      </c>
      <c r="Z124" s="14">
        <f t="shared" si="21"/>
        <v>13.885</v>
      </c>
      <c r="AA124" s="14">
        <v>14.27</v>
      </c>
      <c r="AB124" s="14">
        <v>13.5</v>
      </c>
      <c r="AC124" s="31">
        <v>287</v>
      </c>
      <c r="AD124" s="9">
        <v>251</v>
      </c>
      <c r="AE124" s="9">
        <v>310.5</v>
      </c>
      <c r="AF124" s="61" t="s">
        <v>376</v>
      </c>
      <c r="AG124" s="61" t="s">
        <v>42</v>
      </c>
      <c r="AQ124" s="79"/>
    </row>
    <row r="125" spans="1:43">
      <c r="A125" s="16" t="s">
        <v>75</v>
      </c>
      <c r="B125" s="60" t="s">
        <v>258</v>
      </c>
      <c r="C125" s="18">
        <f t="shared" si="24"/>
        <v>273.64999999999998</v>
      </c>
      <c r="D125" s="28">
        <v>275</v>
      </c>
      <c r="E125" s="28">
        <v>272.3</v>
      </c>
      <c r="F125" s="31">
        <f t="shared" si="15"/>
        <v>133.33333333333334</v>
      </c>
      <c r="G125" s="31">
        <f t="shared" si="16"/>
        <v>80</v>
      </c>
      <c r="H125" s="31">
        <f t="shared" si="17"/>
        <v>266.66666666666669</v>
      </c>
      <c r="I125" s="66">
        <v>500</v>
      </c>
      <c r="J125" s="66">
        <v>300</v>
      </c>
      <c r="K125" s="66">
        <v>1000</v>
      </c>
      <c r="L125" s="66">
        <v>7500</v>
      </c>
      <c r="M125" s="31">
        <v>2000</v>
      </c>
      <c r="N125" s="31"/>
      <c r="O125" s="61" t="s">
        <v>42</v>
      </c>
      <c r="P125" s="13" t="s">
        <v>460</v>
      </c>
      <c r="Q125" s="102">
        <v>38.619999999999997</v>
      </c>
      <c r="S125" s="30"/>
      <c r="T125" s="53">
        <v>863.29754139821318</v>
      </c>
      <c r="U125" s="103">
        <v>754.08833433444761</v>
      </c>
      <c r="V125" s="103">
        <v>1116.3774720837857</v>
      </c>
      <c r="W125" s="61" t="s">
        <v>174</v>
      </c>
      <c r="X125" s="13" t="s">
        <v>88</v>
      </c>
      <c r="Y125" s="79" t="s">
        <v>350</v>
      </c>
      <c r="Z125" s="14">
        <f t="shared" si="21"/>
        <v>13.885</v>
      </c>
      <c r="AA125" s="14">
        <v>14.27</v>
      </c>
      <c r="AB125" s="14">
        <v>13.5</v>
      </c>
      <c r="AC125" s="31">
        <v>292.51100000000002</v>
      </c>
      <c r="AD125" s="9">
        <v>279</v>
      </c>
      <c r="AE125" s="9">
        <v>300</v>
      </c>
      <c r="AF125" s="61" t="s">
        <v>379</v>
      </c>
      <c r="AG125" s="61" t="s">
        <v>42</v>
      </c>
      <c r="AQ125" s="79"/>
    </row>
    <row r="126" spans="1:43">
      <c r="A126" s="16" t="s">
        <v>83</v>
      </c>
      <c r="B126" s="60" t="s">
        <v>261</v>
      </c>
      <c r="C126" s="18">
        <f t="shared" si="24"/>
        <v>83.25</v>
      </c>
      <c r="D126" s="18">
        <v>100.5</v>
      </c>
      <c r="E126" s="18">
        <v>66</v>
      </c>
      <c r="F126" s="31">
        <f t="shared" si="15"/>
        <v>740</v>
      </c>
      <c r="G126" s="31">
        <f t="shared" si="16"/>
        <v>555</v>
      </c>
      <c r="H126" s="31">
        <f t="shared" si="17"/>
        <v>925</v>
      </c>
      <c r="I126" s="63">
        <v>1480</v>
      </c>
      <c r="J126" s="63">
        <v>1110</v>
      </c>
      <c r="K126" s="61">
        <v>1850</v>
      </c>
      <c r="L126" s="61">
        <v>4000</v>
      </c>
      <c r="M126" s="31">
        <v>2000</v>
      </c>
      <c r="N126" s="31"/>
      <c r="O126" s="61" t="s">
        <v>42</v>
      </c>
      <c r="P126" s="13" t="s">
        <v>456</v>
      </c>
      <c r="Q126" s="29">
        <v>12.81</v>
      </c>
      <c r="T126" s="9">
        <v>283</v>
      </c>
      <c r="U126" s="9">
        <v>239</v>
      </c>
      <c r="V126" s="9">
        <v>328</v>
      </c>
      <c r="X126" s="13" t="s">
        <v>88</v>
      </c>
      <c r="Y126" s="79" t="s">
        <v>351</v>
      </c>
      <c r="Z126" s="14">
        <f t="shared" si="21"/>
        <v>11.559999999999999</v>
      </c>
      <c r="AA126" s="14">
        <v>12.17</v>
      </c>
      <c r="AB126" s="14">
        <v>10.95</v>
      </c>
      <c r="AC126" s="31">
        <v>332.15899999999999</v>
      </c>
      <c r="AD126" s="9">
        <v>314.8</v>
      </c>
      <c r="AE126" s="9">
        <v>348.4</v>
      </c>
      <c r="AF126" s="61" t="s">
        <v>379</v>
      </c>
      <c r="AG126" s="61" t="s">
        <v>42</v>
      </c>
      <c r="AQ126" s="79"/>
    </row>
    <row r="127" spans="1:43">
      <c r="A127" s="16" t="s">
        <v>83</v>
      </c>
      <c r="B127" s="60" t="s">
        <v>405</v>
      </c>
      <c r="C127" s="18">
        <f t="shared" si="24"/>
        <v>182.4</v>
      </c>
      <c r="D127" s="18">
        <v>201.3</v>
      </c>
      <c r="E127" s="18">
        <v>163.5</v>
      </c>
      <c r="F127" s="31">
        <f t="shared" si="15"/>
        <v>1112.5</v>
      </c>
      <c r="G127" s="31">
        <f t="shared" si="16"/>
        <v>837.5</v>
      </c>
      <c r="H127" s="31">
        <f t="shared" si="17"/>
        <v>1387.5</v>
      </c>
      <c r="I127" s="63">
        <v>2225</v>
      </c>
      <c r="J127" s="63">
        <v>1675</v>
      </c>
      <c r="K127" s="61">
        <v>2775</v>
      </c>
      <c r="L127" s="61">
        <v>4000</v>
      </c>
      <c r="M127" s="31">
        <v>2000</v>
      </c>
      <c r="N127" s="31"/>
      <c r="O127" s="61" t="s">
        <v>42</v>
      </c>
      <c r="P127" s="13" t="s">
        <v>456</v>
      </c>
      <c r="Q127" s="29">
        <v>13.601800000000001</v>
      </c>
      <c r="T127" s="9">
        <v>270.947</v>
      </c>
      <c r="U127" s="9">
        <v>230</v>
      </c>
      <c r="V127" s="9">
        <v>312</v>
      </c>
      <c r="X127" s="13" t="s">
        <v>134</v>
      </c>
      <c r="Y127" s="79" t="s">
        <v>207</v>
      </c>
      <c r="Z127" s="14">
        <v>72.5</v>
      </c>
      <c r="AA127" s="14">
        <v>83.6</v>
      </c>
      <c r="AB127" s="14">
        <v>72.099999999999994</v>
      </c>
      <c r="AC127" s="9">
        <v>558.98973284164185</v>
      </c>
      <c r="AD127" s="9">
        <v>496.81393530465198</v>
      </c>
      <c r="AE127" s="9">
        <v>818.53056905351445</v>
      </c>
      <c r="AF127" s="61" t="s">
        <v>118</v>
      </c>
      <c r="AG127" s="61" t="s">
        <v>42</v>
      </c>
      <c r="AQ127" s="79"/>
    </row>
    <row r="128" spans="1:43">
      <c r="A128" s="16" t="s">
        <v>83</v>
      </c>
      <c r="B128" s="60" t="s">
        <v>262</v>
      </c>
      <c r="C128" s="18">
        <f t="shared" si="24"/>
        <v>232.7</v>
      </c>
      <c r="D128" s="18">
        <v>237</v>
      </c>
      <c r="E128" s="18">
        <v>228.4</v>
      </c>
      <c r="F128" s="31">
        <f t="shared" si="15"/>
        <v>585</v>
      </c>
      <c r="G128" s="31">
        <f t="shared" si="16"/>
        <v>440</v>
      </c>
      <c r="H128" s="31">
        <f t="shared" si="17"/>
        <v>730</v>
      </c>
      <c r="I128" s="63">
        <v>1170</v>
      </c>
      <c r="J128" s="63">
        <v>880</v>
      </c>
      <c r="K128" s="67">
        <v>1460</v>
      </c>
      <c r="L128" s="61">
        <v>4000</v>
      </c>
      <c r="M128" s="31">
        <v>2000</v>
      </c>
      <c r="N128" s="31"/>
      <c r="O128" s="61" t="s">
        <v>42</v>
      </c>
      <c r="P128" s="13" t="s">
        <v>456</v>
      </c>
      <c r="Q128" s="29">
        <v>13.643599999999999</v>
      </c>
      <c r="T128" s="9">
        <v>303.11099999999999</v>
      </c>
      <c r="U128" s="9">
        <v>256</v>
      </c>
      <c r="V128" s="9">
        <v>351</v>
      </c>
      <c r="X128" s="13" t="s">
        <v>134</v>
      </c>
      <c r="Y128" s="79" t="s">
        <v>207</v>
      </c>
      <c r="Z128" s="14">
        <v>73.099999999999994</v>
      </c>
      <c r="AA128" s="14">
        <v>83.6</v>
      </c>
      <c r="AB128" s="14">
        <v>72.099999999999994</v>
      </c>
      <c r="AC128" s="9">
        <v>568.42412203167396</v>
      </c>
      <c r="AD128" s="9">
        <v>508.26210092654384</v>
      </c>
      <c r="AE128" s="9">
        <v>836.42423035018942</v>
      </c>
      <c r="AF128" s="61" t="s">
        <v>118</v>
      </c>
      <c r="AG128" s="61" t="s">
        <v>42</v>
      </c>
      <c r="AQ128" s="79"/>
    </row>
    <row r="129" spans="1:43">
      <c r="A129" s="16" t="s">
        <v>83</v>
      </c>
      <c r="B129" s="60" t="s">
        <v>260</v>
      </c>
      <c r="C129" s="18">
        <f t="shared" si="24"/>
        <v>242.05</v>
      </c>
      <c r="D129" s="18">
        <v>247.1</v>
      </c>
      <c r="E129" s="18">
        <v>237</v>
      </c>
      <c r="F129" s="31">
        <f t="shared" si="15"/>
        <v>605</v>
      </c>
      <c r="G129" s="31">
        <f t="shared" si="16"/>
        <v>455</v>
      </c>
      <c r="H129" s="31">
        <f t="shared" si="17"/>
        <v>755</v>
      </c>
      <c r="I129" s="63">
        <v>1210</v>
      </c>
      <c r="J129" s="63">
        <v>910</v>
      </c>
      <c r="K129" s="67">
        <v>1510</v>
      </c>
      <c r="L129" s="61">
        <v>4000</v>
      </c>
      <c r="M129" s="31">
        <v>2000</v>
      </c>
      <c r="N129" s="31"/>
      <c r="O129" s="61" t="s">
        <v>42</v>
      </c>
      <c r="P129" s="13" t="s">
        <v>456</v>
      </c>
      <c r="Q129" s="29">
        <v>13.650600000000001</v>
      </c>
      <c r="T129" s="9">
        <v>305.755</v>
      </c>
      <c r="U129" s="9">
        <v>258</v>
      </c>
      <c r="V129" s="9">
        <v>355</v>
      </c>
      <c r="X129" s="13" t="s">
        <v>134</v>
      </c>
      <c r="Y129" s="79" t="s">
        <v>207</v>
      </c>
      <c r="Z129" s="14">
        <v>73.7</v>
      </c>
      <c r="AA129" s="14">
        <v>83.6</v>
      </c>
      <c r="AB129" s="14">
        <v>72.099999999999994</v>
      </c>
      <c r="AC129" s="9">
        <v>571.69772529910472</v>
      </c>
      <c r="AD129" s="9">
        <v>491.36117602064462</v>
      </c>
      <c r="AE129" s="9">
        <v>937.95738895758757</v>
      </c>
      <c r="AF129" s="61" t="s">
        <v>118</v>
      </c>
      <c r="AG129" s="61" t="s">
        <v>42</v>
      </c>
      <c r="AQ129" s="79"/>
    </row>
    <row r="130" spans="1:43">
      <c r="A130" s="16" t="s">
        <v>83</v>
      </c>
      <c r="B130" s="60" t="s">
        <v>259</v>
      </c>
      <c r="C130" s="18">
        <f t="shared" si="24"/>
        <v>279.35000000000002</v>
      </c>
      <c r="D130" s="18">
        <v>298.89999999999998</v>
      </c>
      <c r="E130" s="18">
        <v>259.8</v>
      </c>
      <c r="F130" s="31">
        <f t="shared" si="15"/>
        <v>357.5</v>
      </c>
      <c r="G130" s="31">
        <f t="shared" si="16"/>
        <v>270</v>
      </c>
      <c r="H130" s="31">
        <f t="shared" si="17"/>
        <v>445</v>
      </c>
      <c r="I130" s="63">
        <v>715</v>
      </c>
      <c r="J130" s="63">
        <v>540</v>
      </c>
      <c r="K130" s="67">
        <v>890</v>
      </c>
      <c r="L130" s="61">
        <v>4000</v>
      </c>
      <c r="M130" s="31">
        <v>2000</v>
      </c>
      <c r="N130" s="31"/>
      <c r="O130" s="61" t="s">
        <v>42</v>
      </c>
      <c r="P130" s="13" t="s">
        <v>456</v>
      </c>
      <c r="Q130" s="29">
        <v>13.6576</v>
      </c>
      <c r="T130" s="9">
        <v>304.98599999999999</v>
      </c>
      <c r="U130" s="9">
        <v>259</v>
      </c>
      <c r="V130" s="9">
        <v>352</v>
      </c>
      <c r="X130" s="13" t="s">
        <v>134</v>
      </c>
      <c r="Y130" s="79" t="s">
        <v>207</v>
      </c>
      <c r="Z130" s="14">
        <v>74.7</v>
      </c>
      <c r="AA130" s="14">
        <v>83.6</v>
      </c>
      <c r="AB130" s="14">
        <v>72.099999999999994</v>
      </c>
      <c r="AC130" s="9">
        <v>589.12562580044289</v>
      </c>
      <c r="AD130" s="9">
        <v>506.0253705492853</v>
      </c>
      <c r="AE130" s="9">
        <v>1020.3513507616501</v>
      </c>
      <c r="AF130" s="61" t="s">
        <v>118</v>
      </c>
      <c r="AG130" s="61" t="s">
        <v>42</v>
      </c>
      <c r="AQ130" s="79"/>
    </row>
    <row r="131" spans="1:43">
      <c r="A131" s="16" t="s">
        <v>86</v>
      </c>
      <c r="B131" s="60" t="s">
        <v>263</v>
      </c>
      <c r="C131" s="18">
        <f t="shared" si="24"/>
        <v>218.95</v>
      </c>
      <c r="D131" s="18">
        <v>228.4</v>
      </c>
      <c r="E131" s="18">
        <v>209.5</v>
      </c>
      <c r="F131" s="31">
        <f t="shared" si="15"/>
        <v>880</v>
      </c>
      <c r="G131" s="31">
        <f t="shared" si="16"/>
        <v>660</v>
      </c>
      <c r="H131" s="31">
        <f t="shared" si="17"/>
        <v>1100</v>
      </c>
      <c r="I131" s="63">
        <v>1760</v>
      </c>
      <c r="J131" s="63">
        <f>I131*0.75</f>
        <v>1320</v>
      </c>
      <c r="K131" s="67">
        <f>I131*1.25</f>
        <v>2200</v>
      </c>
      <c r="L131" s="61">
        <v>4000</v>
      </c>
      <c r="M131" s="31">
        <v>2000</v>
      </c>
      <c r="N131" s="31"/>
      <c r="O131" s="61" t="s">
        <v>42</v>
      </c>
      <c r="P131" s="13" t="s">
        <v>456</v>
      </c>
      <c r="Q131" s="29">
        <v>13.664999999999999</v>
      </c>
      <c r="T131" s="9">
        <v>307.62799999999999</v>
      </c>
      <c r="U131" s="9">
        <v>261</v>
      </c>
      <c r="V131" s="9">
        <v>355</v>
      </c>
      <c r="X131" s="13" t="s">
        <v>134</v>
      </c>
      <c r="Y131" s="79" t="s">
        <v>207</v>
      </c>
      <c r="Z131" s="14">
        <v>75.400000000000006</v>
      </c>
      <c r="AA131" s="14">
        <v>83.6</v>
      </c>
      <c r="AB131" s="14">
        <v>72.099999999999994</v>
      </c>
      <c r="AC131" s="9">
        <v>592.83937136075463</v>
      </c>
      <c r="AD131" s="9">
        <v>520.49840917913139</v>
      </c>
      <c r="AE131" s="9">
        <v>979.30485010749339</v>
      </c>
      <c r="AF131" s="61" t="s">
        <v>118</v>
      </c>
      <c r="AG131" s="61" t="s">
        <v>42</v>
      </c>
      <c r="AQ131" s="79"/>
    </row>
    <row r="132" spans="1:43">
      <c r="A132" s="16" t="s">
        <v>86</v>
      </c>
      <c r="B132" s="60" t="s">
        <v>263</v>
      </c>
      <c r="C132" s="18">
        <f t="shared" si="24"/>
        <v>218.95</v>
      </c>
      <c r="D132" s="18">
        <v>228.4</v>
      </c>
      <c r="E132" s="18">
        <v>209.5</v>
      </c>
      <c r="F132" s="31">
        <f t="shared" ref="F132:F195" si="25">I132*$M132/$L132</f>
        <v>695</v>
      </c>
      <c r="G132" s="31">
        <f t="shared" ref="G132:G195" si="26">J132*$M132/$L132</f>
        <v>521.25</v>
      </c>
      <c r="H132" s="31">
        <f t="shared" ref="H132:H195" si="27">K132*$M132/$L132</f>
        <v>868.75</v>
      </c>
      <c r="I132" s="63">
        <v>1390</v>
      </c>
      <c r="J132" s="63">
        <f>I132*0.75</f>
        <v>1042.5</v>
      </c>
      <c r="K132" s="67">
        <f>I132*1.25</f>
        <v>1737.5</v>
      </c>
      <c r="L132" s="61">
        <v>4000</v>
      </c>
      <c r="M132" s="31">
        <v>2000</v>
      </c>
      <c r="N132" s="31"/>
      <c r="O132" s="61" t="s">
        <v>42</v>
      </c>
      <c r="P132" s="13" t="s">
        <v>456</v>
      </c>
      <c r="Q132" s="29">
        <v>13.6717</v>
      </c>
      <c r="T132" s="9">
        <v>289.41899999999998</v>
      </c>
      <c r="U132" s="9">
        <v>244</v>
      </c>
      <c r="V132" s="9">
        <v>334</v>
      </c>
      <c r="X132" s="13" t="s">
        <v>134</v>
      </c>
      <c r="Y132" s="79" t="s">
        <v>207</v>
      </c>
      <c r="Z132" s="14">
        <v>75.900000000000006</v>
      </c>
      <c r="AA132" s="14">
        <v>83.6</v>
      </c>
      <c r="AB132" s="14">
        <v>72.099999999999994</v>
      </c>
      <c r="AC132" s="9">
        <v>695.11005555791132</v>
      </c>
      <c r="AD132" s="9">
        <v>558.84754029709825</v>
      </c>
      <c r="AE132" s="9">
        <v>3251.4625749853549</v>
      </c>
      <c r="AF132" s="61" t="s">
        <v>118</v>
      </c>
      <c r="AG132" s="61" t="s">
        <v>42</v>
      </c>
      <c r="AQ132" s="79"/>
    </row>
    <row r="133" spans="1:43">
      <c r="A133" s="16" t="s">
        <v>86</v>
      </c>
      <c r="B133" s="60" t="s">
        <v>264</v>
      </c>
      <c r="C133" s="18">
        <f t="shared" si="24"/>
        <v>232.7</v>
      </c>
      <c r="D133" s="18">
        <v>237</v>
      </c>
      <c r="E133" s="18">
        <v>228.4</v>
      </c>
      <c r="F133" s="31">
        <f t="shared" si="25"/>
        <v>116</v>
      </c>
      <c r="G133" s="31">
        <f t="shared" si="26"/>
        <v>87</v>
      </c>
      <c r="H133" s="31">
        <f t="shared" si="27"/>
        <v>145</v>
      </c>
      <c r="I133" s="63">
        <v>290</v>
      </c>
      <c r="J133" s="63">
        <f>I133*0.75</f>
        <v>217.5</v>
      </c>
      <c r="K133" s="67">
        <f>I133*1.25</f>
        <v>362.5</v>
      </c>
      <c r="L133" s="67">
        <v>5000</v>
      </c>
      <c r="M133" s="31">
        <v>2000</v>
      </c>
      <c r="N133" s="31"/>
      <c r="O133" s="61" t="s">
        <v>42</v>
      </c>
      <c r="P133" s="13" t="s">
        <v>456</v>
      </c>
      <c r="Q133" s="29">
        <v>13.6791</v>
      </c>
      <c r="T133" s="9">
        <v>260.97199999999998</v>
      </c>
      <c r="U133" s="9">
        <v>221</v>
      </c>
      <c r="V133" s="9">
        <v>304</v>
      </c>
      <c r="X133" s="13" t="s">
        <v>134</v>
      </c>
      <c r="Y133" s="79" t="s">
        <v>207</v>
      </c>
      <c r="Z133" s="14">
        <v>78.099999999999994</v>
      </c>
      <c r="AA133" s="14">
        <v>83.6</v>
      </c>
      <c r="AB133" s="14">
        <v>72.099999999999994</v>
      </c>
      <c r="AC133" s="9">
        <v>568.42412203167396</v>
      </c>
      <c r="AD133" s="9">
        <v>475.22151970593472</v>
      </c>
      <c r="AE133" s="9">
        <v>983.60810455143155</v>
      </c>
      <c r="AF133" s="61" t="s">
        <v>118</v>
      </c>
      <c r="AG133" s="61" t="s">
        <v>42</v>
      </c>
      <c r="AQ133" s="79"/>
    </row>
    <row r="134" spans="1:43">
      <c r="A134" s="16" t="s">
        <v>86</v>
      </c>
      <c r="B134" s="60" t="s">
        <v>265</v>
      </c>
      <c r="C134" s="18">
        <f t="shared" si="24"/>
        <v>246.05</v>
      </c>
      <c r="D134" s="18">
        <v>247.1</v>
      </c>
      <c r="E134" s="18">
        <v>245</v>
      </c>
      <c r="F134" s="31">
        <f t="shared" si="25"/>
        <v>580</v>
      </c>
      <c r="G134" s="31">
        <f t="shared" si="26"/>
        <v>435</v>
      </c>
      <c r="H134" s="31">
        <f t="shared" si="27"/>
        <v>725</v>
      </c>
      <c r="I134" s="63">
        <v>1160</v>
      </c>
      <c r="J134" s="63">
        <f>I134*0.75</f>
        <v>870</v>
      </c>
      <c r="K134" s="67">
        <f>I134*1.25</f>
        <v>1450</v>
      </c>
      <c r="L134" s="67">
        <v>4000</v>
      </c>
      <c r="M134" s="31">
        <v>2000</v>
      </c>
      <c r="N134" s="31"/>
      <c r="O134" s="61" t="s">
        <v>42</v>
      </c>
      <c r="P134" s="13" t="s">
        <v>456</v>
      </c>
      <c r="Q134" s="29">
        <v>13.693099999999999</v>
      </c>
      <c r="T134" s="9">
        <v>294.31599999999997</v>
      </c>
      <c r="U134" s="9">
        <v>249</v>
      </c>
      <c r="V134" s="9">
        <v>339</v>
      </c>
      <c r="X134" s="13" t="s">
        <v>134</v>
      </c>
      <c r="Y134" s="79" t="s">
        <v>207</v>
      </c>
      <c r="Z134" s="14">
        <v>79.900000000000006</v>
      </c>
      <c r="AA134" s="14">
        <v>83.6</v>
      </c>
      <c r="AB134" s="14">
        <v>72.099999999999994</v>
      </c>
      <c r="AC134" s="9">
        <v>581.93353130005869</v>
      </c>
      <c r="AD134" s="9">
        <v>496.63693161091658</v>
      </c>
      <c r="AE134" s="9">
        <v>1000.9752296324459</v>
      </c>
      <c r="AF134" s="61" t="s">
        <v>118</v>
      </c>
      <c r="AG134" s="61" t="s">
        <v>42</v>
      </c>
      <c r="AQ134" s="79"/>
    </row>
    <row r="135" spans="1:43">
      <c r="A135" s="16" t="s">
        <v>86</v>
      </c>
      <c r="B135" s="60" t="s">
        <v>265</v>
      </c>
      <c r="C135" s="18">
        <f t="shared" si="24"/>
        <v>246.05</v>
      </c>
      <c r="D135" s="18">
        <v>247.1</v>
      </c>
      <c r="E135" s="18">
        <v>245</v>
      </c>
      <c r="F135" s="31">
        <f t="shared" si="25"/>
        <v>300</v>
      </c>
      <c r="G135" s="31">
        <f t="shared" si="26"/>
        <v>225</v>
      </c>
      <c r="H135" s="31">
        <f t="shared" si="27"/>
        <v>375</v>
      </c>
      <c r="I135" s="63">
        <v>600</v>
      </c>
      <c r="J135" s="63">
        <f>I135*0.75</f>
        <v>450</v>
      </c>
      <c r="K135" s="67">
        <f>I135*1.25</f>
        <v>750</v>
      </c>
      <c r="L135" s="61">
        <v>4000</v>
      </c>
      <c r="M135" s="31">
        <v>2000</v>
      </c>
      <c r="N135" s="31"/>
      <c r="O135" s="61" t="s">
        <v>42</v>
      </c>
      <c r="P135" s="13" t="s">
        <v>456</v>
      </c>
      <c r="Q135" s="29">
        <v>13.703900000000001</v>
      </c>
      <c r="T135" s="9">
        <v>271.17099999999999</v>
      </c>
      <c r="U135" s="9">
        <v>227</v>
      </c>
      <c r="V135" s="9">
        <v>317</v>
      </c>
      <c r="X135" s="13" t="s">
        <v>134</v>
      </c>
      <c r="Y135" s="79" t="s">
        <v>207</v>
      </c>
      <c r="Z135" s="14">
        <v>81.5</v>
      </c>
      <c r="AA135" s="14">
        <v>83.6</v>
      </c>
      <c r="AB135" s="14">
        <v>72.099999999999994</v>
      </c>
      <c r="AC135" s="9">
        <v>585.49118355671726</v>
      </c>
      <c r="AD135" s="9">
        <v>482.50092620954035</v>
      </c>
      <c r="AE135" s="9">
        <v>1105.2192109836326</v>
      </c>
      <c r="AF135" s="61" t="s">
        <v>118</v>
      </c>
      <c r="AG135" s="61" t="s">
        <v>42</v>
      </c>
      <c r="AQ135" s="79"/>
    </row>
    <row r="136" spans="1:43">
      <c r="A136" s="16" t="s">
        <v>145</v>
      </c>
      <c r="B136" s="60" t="s">
        <v>242</v>
      </c>
      <c r="C136" s="18">
        <f t="shared" si="24"/>
        <v>92.15</v>
      </c>
      <c r="D136" s="18">
        <v>93</v>
      </c>
      <c r="E136" s="18">
        <v>91.3</v>
      </c>
      <c r="F136" s="31">
        <f t="shared" si="25"/>
        <v>772.03750000000002</v>
      </c>
      <c r="G136" s="31">
        <f t="shared" si="26"/>
        <v>725</v>
      </c>
      <c r="H136" s="31">
        <f t="shared" si="27"/>
        <v>1345</v>
      </c>
      <c r="I136" s="63">
        <f>AVERAGE(J136:K137)</f>
        <v>1544.075</v>
      </c>
      <c r="J136" s="63">
        <v>1450</v>
      </c>
      <c r="K136" s="67">
        <v>2690</v>
      </c>
      <c r="L136" s="61">
        <v>4000</v>
      </c>
      <c r="M136" s="31">
        <v>2000</v>
      </c>
      <c r="N136" s="31"/>
      <c r="O136" s="61" t="s">
        <v>42</v>
      </c>
      <c r="P136" s="13" t="s">
        <v>456</v>
      </c>
      <c r="Q136" s="29">
        <v>13.7088</v>
      </c>
      <c r="T136" s="9">
        <v>301.11599999999999</v>
      </c>
      <c r="U136" s="9">
        <v>256</v>
      </c>
      <c r="V136" s="9">
        <v>346</v>
      </c>
      <c r="X136" s="13" t="s">
        <v>100</v>
      </c>
      <c r="Y136" s="79" t="s">
        <v>410</v>
      </c>
      <c r="Z136" s="14">
        <f t="shared" ref="Z136:Z173" si="28">AVERAGE(AA136:AB136)</f>
        <v>121</v>
      </c>
      <c r="AA136" s="14">
        <v>123</v>
      </c>
      <c r="AB136" s="14">
        <v>119</v>
      </c>
      <c r="AC136" s="9">
        <f t="shared" ref="AC136:AC151" si="29">AVERAGE(AD136:AE136)</f>
        <v>867.30000000000007</v>
      </c>
      <c r="AD136" s="9">
        <f t="shared" ref="AD136:AD151" si="30">AE136/2</f>
        <v>578.20000000000005</v>
      </c>
      <c r="AE136" s="9">
        <v>1156.4000000000001</v>
      </c>
      <c r="AF136" s="61" t="s">
        <v>118</v>
      </c>
      <c r="AG136" s="61" t="s">
        <v>42</v>
      </c>
      <c r="AQ136" s="79"/>
    </row>
    <row r="137" spans="1:43">
      <c r="A137" s="16" t="s">
        <v>85</v>
      </c>
      <c r="B137" s="60" t="s">
        <v>412</v>
      </c>
      <c r="C137" s="24">
        <v>300.17588000000001</v>
      </c>
      <c r="D137" s="34"/>
      <c r="E137" s="34"/>
      <c r="F137" s="31">
        <f t="shared" si="25"/>
        <v>882.48</v>
      </c>
      <c r="G137" s="31">
        <f t="shared" si="26"/>
        <v>282.39999999999998</v>
      </c>
      <c r="H137" s="31">
        <f t="shared" si="27"/>
        <v>1346.64</v>
      </c>
      <c r="I137" s="66">
        <v>1103.0999999999999</v>
      </c>
      <c r="J137" s="66">
        <v>353</v>
      </c>
      <c r="K137" s="66">
        <v>1683.3</v>
      </c>
      <c r="L137" s="66">
        <v>2500</v>
      </c>
      <c r="M137" s="31">
        <v>2000</v>
      </c>
      <c r="N137" s="50" t="s">
        <v>416</v>
      </c>
      <c r="O137" s="61" t="s">
        <v>42</v>
      </c>
      <c r="P137" s="13" t="s">
        <v>456</v>
      </c>
      <c r="Q137" s="29">
        <v>13.7155</v>
      </c>
      <c r="T137" s="9">
        <v>292.38600000000002</v>
      </c>
      <c r="U137" s="9">
        <v>250</v>
      </c>
      <c r="V137" s="9">
        <v>338</v>
      </c>
      <c r="X137" s="13" t="s">
        <v>100</v>
      </c>
      <c r="Y137" s="79" t="s">
        <v>410</v>
      </c>
      <c r="Z137" s="14">
        <f t="shared" si="28"/>
        <v>121</v>
      </c>
      <c r="AA137" s="14">
        <v>123</v>
      </c>
      <c r="AB137" s="14">
        <v>119</v>
      </c>
      <c r="AC137" s="9">
        <f t="shared" si="29"/>
        <v>836.84999999999991</v>
      </c>
      <c r="AD137" s="9">
        <f t="shared" si="30"/>
        <v>557.9</v>
      </c>
      <c r="AE137" s="9">
        <v>1115.8</v>
      </c>
      <c r="AF137" s="61" t="s">
        <v>118</v>
      </c>
      <c r="AG137" s="61" t="s">
        <v>42</v>
      </c>
      <c r="AQ137" s="79"/>
    </row>
    <row r="138" spans="1:43">
      <c r="A138" s="16" t="s">
        <v>85</v>
      </c>
      <c r="B138" s="60" t="s">
        <v>412</v>
      </c>
      <c r="C138" s="24">
        <v>299.88200000000001</v>
      </c>
      <c r="D138" s="34"/>
      <c r="E138" s="34"/>
      <c r="F138" s="31">
        <f t="shared" si="25"/>
        <v>697.2</v>
      </c>
      <c r="G138" s="31">
        <f t="shared" si="26"/>
        <v>185.26666666666668</v>
      </c>
      <c r="H138" s="31">
        <f t="shared" si="27"/>
        <v>1102.4666666666667</v>
      </c>
      <c r="I138" s="66">
        <v>1045.8</v>
      </c>
      <c r="J138" s="66">
        <v>277.89999999999998</v>
      </c>
      <c r="K138" s="66">
        <v>1653.7</v>
      </c>
      <c r="L138" s="66">
        <v>3000</v>
      </c>
      <c r="M138" s="31">
        <v>2000</v>
      </c>
      <c r="N138" s="50" t="s">
        <v>414</v>
      </c>
      <c r="O138" s="61" t="s">
        <v>42</v>
      </c>
      <c r="P138" s="13" t="s">
        <v>456</v>
      </c>
      <c r="Q138" s="29">
        <v>13.7407</v>
      </c>
      <c r="T138" s="9">
        <v>305.23899999999998</v>
      </c>
      <c r="U138" s="9">
        <v>260</v>
      </c>
      <c r="V138" s="9">
        <v>352</v>
      </c>
      <c r="X138" s="13" t="s">
        <v>100</v>
      </c>
      <c r="Y138" s="79" t="s">
        <v>410</v>
      </c>
      <c r="Z138" s="14">
        <f t="shared" si="28"/>
        <v>121</v>
      </c>
      <c r="AA138" s="14">
        <v>123</v>
      </c>
      <c r="AB138" s="14">
        <v>119</v>
      </c>
      <c r="AC138" s="9">
        <f t="shared" si="29"/>
        <v>784.125</v>
      </c>
      <c r="AD138" s="9">
        <f t="shared" si="30"/>
        <v>522.75</v>
      </c>
      <c r="AE138" s="9">
        <v>1045.5</v>
      </c>
      <c r="AF138" s="61" t="s">
        <v>118</v>
      </c>
      <c r="AG138" s="61" t="s">
        <v>42</v>
      </c>
      <c r="AQ138" s="79"/>
    </row>
    <row r="139" spans="1:43">
      <c r="A139" s="16" t="s">
        <v>85</v>
      </c>
      <c r="B139" s="60" t="s">
        <v>412</v>
      </c>
      <c r="C139" s="24">
        <v>299.68608</v>
      </c>
      <c r="D139" s="34"/>
      <c r="E139" s="34"/>
      <c r="F139" s="31">
        <f t="shared" si="25"/>
        <v>398.8</v>
      </c>
      <c r="G139" s="31">
        <f t="shared" si="26"/>
        <v>87.8</v>
      </c>
      <c r="H139" s="31">
        <f t="shared" si="27"/>
        <v>649.84</v>
      </c>
      <c r="I139" s="66">
        <v>997</v>
      </c>
      <c r="J139" s="66">
        <v>219.5</v>
      </c>
      <c r="K139" s="66">
        <v>1624.6</v>
      </c>
      <c r="L139" s="66">
        <v>5000</v>
      </c>
      <c r="M139" s="31">
        <v>2000</v>
      </c>
      <c r="N139" s="50" t="s">
        <v>414</v>
      </c>
      <c r="O139" s="61" t="s">
        <v>42</v>
      </c>
      <c r="P139" s="13" t="s">
        <v>456</v>
      </c>
      <c r="Q139" s="29">
        <v>13.752599999999999</v>
      </c>
      <c r="T139" s="9">
        <v>304.84100000000001</v>
      </c>
      <c r="U139" s="9">
        <v>253</v>
      </c>
      <c r="V139" s="9">
        <v>358</v>
      </c>
      <c r="X139" s="13" t="s">
        <v>100</v>
      </c>
      <c r="Y139" s="79" t="s">
        <v>410</v>
      </c>
      <c r="Z139" s="14">
        <f t="shared" si="28"/>
        <v>121</v>
      </c>
      <c r="AA139" s="14">
        <v>123</v>
      </c>
      <c r="AB139" s="14">
        <v>119</v>
      </c>
      <c r="AC139" s="9">
        <f t="shared" si="29"/>
        <v>572.84999999999991</v>
      </c>
      <c r="AD139" s="9">
        <f t="shared" si="30"/>
        <v>381.9</v>
      </c>
      <c r="AE139" s="9">
        <v>763.8</v>
      </c>
      <c r="AF139" s="61" t="s">
        <v>118</v>
      </c>
      <c r="AG139" s="61" t="s">
        <v>42</v>
      </c>
      <c r="AQ139" s="79"/>
    </row>
    <row r="140" spans="1:43">
      <c r="A140" s="16" t="s">
        <v>85</v>
      </c>
      <c r="B140" s="60" t="s">
        <v>412</v>
      </c>
      <c r="C140" s="24">
        <v>298.58322000000004</v>
      </c>
      <c r="D140" s="34"/>
      <c r="E140" s="34"/>
      <c r="F140" s="31">
        <f t="shared" si="25"/>
        <v>515.13333333333333</v>
      </c>
      <c r="G140" s="31">
        <f t="shared" si="26"/>
        <v>0</v>
      </c>
      <c r="H140" s="31">
        <f t="shared" si="27"/>
        <v>995.86666666666667</v>
      </c>
      <c r="I140" s="66">
        <v>772.7</v>
      </c>
      <c r="J140" s="66">
        <v>0</v>
      </c>
      <c r="K140" s="66">
        <v>1493.8</v>
      </c>
      <c r="L140" s="66">
        <v>3000</v>
      </c>
      <c r="M140" s="31">
        <v>2000</v>
      </c>
      <c r="N140" s="50" t="s">
        <v>415</v>
      </c>
      <c r="O140" s="61" t="s">
        <v>42</v>
      </c>
      <c r="P140" s="13" t="s">
        <v>456</v>
      </c>
      <c r="Q140" s="29">
        <v>13.7597</v>
      </c>
      <c r="T140" s="9">
        <v>291.56099999999998</v>
      </c>
      <c r="U140" s="9">
        <v>249</v>
      </c>
      <c r="V140" s="9">
        <v>338</v>
      </c>
      <c r="X140" s="13" t="s">
        <v>100</v>
      </c>
      <c r="Y140" s="79" t="s">
        <v>410</v>
      </c>
      <c r="Z140" s="14">
        <f t="shared" si="28"/>
        <v>121</v>
      </c>
      <c r="AA140" s="14">
        <v>123</v>
      </c>
      <c r="AB140" s="14">
        <v>119</v>
      </c>
      <c r="AC140" s="9">
        <f t="shared" si="29"/>
        <v>1059.9749999999999</v>
      </c>
      <c r="AD140" s="9">
        <f t="shared" si="30"/>
        <v>706.65</v>
      </c>
      <c r="AE140" s="9">
        <v>1413.3</v>
      </c>
      <c r="AF140" s="61" t="s">
        <v>118</v>
      </c>
      <c r="AG140" s="61" t="s">
        <v>42</v>
      </c>
      <c r="AQ140" s="79"/>
    </row>
    <row r="141" spans="1:43">
      <c r="A141" s="16" t="s">
        <v>85</v>
      </c>
      <c r="B141" s="60" t="s">
        <v>412</v>
      </c>
      <c r="C141" s="24">
        <v>297.88779</v>
      </c>
      <c r="D141" s="34"/>
      <c r="E141" s="34"/>
      <c r="F141" s="31">
        <f t="shared" si="25"/>
        <v>288.39999999999998</v>
      </c>
      <c r="G141" s="31">
        <f t="shared" si="26"/>
        <v>0</v>
      </c>
      <c r="H141" s="31">
        <f t="shared" si="27"/>
        <v>877.93333333333328</v>
      </c>
      <c r="I141" s="66">
        <v>432.6</v>
      </c>
      <c r="J141" s="66">
        <v>0</v>
      </c>
      <c r="K141" s="66">
        <v>1316.9</v>
      </c>
      <c r="L141" s="66">
        <v>3000</v>
      </c>
      <c r="M141" s="31">
        <v>2000</v>
      </c>
      <c r="N141" s="50" t="s">
        <v>417</v>
      </c>
      <c r="O141" s="61" t="s">
        <v>42</v>
      </c>
      <c r="P141" s="13" t="s">
        <v>456</v>
      </c>
      <c r="Q141" s="29">
        <v>13.7659</v>
      </c>
      <c r="T141" s="9">
        <v>340.46100000000001</v>
      </c>
      <c r="U141" s="9">
        <v>285</v>
      </c>
      <c r="V141" s="9">
        <v>395</v>
      </c>
      <c r="X141" s="13" t="s">
        <v>100</v>
      </c>
      <c r="Y141" s="79" t="s">
        <v>410</v>
      </c>
      <c r="Z141" s="14">
        <f t="shared" si="28"/>
        <v>121</v>
      </c>
      <c r="AA141" s="14">
        <v>123</v>
      </c>
      <c r="AB141" s="14">
        <v>119</v>
      </c>
      <c r="AC141" s="9">
        <f t="shared" si="29"/>
        <v>1059.9749999999999</v>
      </c>
      <c r="AD141" s="9">
        <f t="shared" si="30"/>
        <v>706.65</v>
      </c>
      <c r="AE141" s="9">
        <v>1413.3</v>
      </c>
      <c r="AF141" s="61" t="s">
        <v>118</v>
      </c>
      <c r="AG141" s="61" t="s">
        <v>42</v>
      </c>
      <c r="AQ141" s="79"/>
    </row>
    <row r="142" spans="1:43">
      <c r="A142" s="16" t="s">
        <v>85</v>
      </c>
      <c r="B142" s="60" t="s">
        <v>412</v>
      </c>
      <c r="C142" s="24">
        <v>296.57420000000002</v>
      </c>
      <c r="D142" s="34"/>
      <c r="E142" s="34"/>
      <c r="F142" s="31">
        <f t="shared" si="25"/>
        <v>64.599999999999994</v>
      </c>
      <c r="G142" s="31">
        <f t="shared" si="26"/>
        <v>0</v>
      </c>
      <c r="H142" s="31">
        <f t="shared" si="27"/>
        <v>304.27636363636361</v>
      </c>
      <c r="I142" s="66">
        <v>187</v>
      </c>
      <c r="J142" s="66">
        <v>0</v>
      </c>
      <c r="K142" s="66">
        <v>880.8</v>
      </c>
      <c r="L142" s="66">
        <v>5500</v>
      </c>
      <c r="M142" s="31">
        <v>1900</v>
      </c>
      <c r="N142" s="50" t="s">
        <v>418</v>
      </c>
      <c r="O142" s="61" t="s">
        <v>42</v>
      </c>
      <c r="P142" s="13" t="s">
        <v>456</v>
      </c>
      <c r="Q142" s="29">
        <v>13.772500000000001</v>
      </c>
      <c r="T142" s="9">
        <v>312.77300000000002</v>
      </c>
      <c r="U142" s="9">
        <v>266</v>
      </c>
      <c r="V142" s="9">
        <v>360</v>
      </c>
      <c r="X142" s="13" t="s">
        <v>100</v>
      </c>
      <c r="Y142" s="79" t="s">
        <v>410</v>
      </c>
      <c r="Z142" s="14">
        <f t="shared" si="28"/>
        <v>121</v>
      </c>
      <c r="AA142" s="14">
        <v>123</v>
      </c>
      <c r="AB142" s="14">
        <v>119</v>
      </c>
      <c r="AC142" s="9">
        <f t="shared" si="29"/>
        <v>867.30000000000007</v>
      </c>
      <c r="AD142" s="9">
        <f t="shared" si="30"/>
        <v>578.20000000000005</v>
      </c>
      <c r="AE142" s="9">
        <v>1156.4000000000001</v>
      </c>
      <c r="AF142" s="61" t="s">
        <v>118</v>
      </c>
      <c r="AG142" s="61" t="s">
        <v>42</v>
      </c>
      <c r="AQ142" s="79"/>
    </row>
    <row r="143" spans="1:43">
      <c r="A143" s="16" t="s">
        <v>85</v>
      </c>
      <c r="B143" s="60" t="s">
        <v>412</v>
      </c>
      <c r="C143" s="24">
        <v>295.87877000000003</v>
      </c>
      <c r="D143" s="34"/>
      <c r="E143" s="34"/>
      <c r="F143" s="31">
        <f t="shared" si="25"/>
        <v>46.866666666666667</v>
      </c>
      <c r="G143" s="31">
        <f t="shared" si="26"/>
        <v>0</v>
      </c>
      <c r="H143" s="31">
        <f t="shared" si="27"/>
        <v>209.91333333333333</v>
      </c>
      <c r="I143" s="66">
        <v>190</v>
      </c>
      <c r="J143" s="66">
        <v>0</v>
      </c>
      <c r="K143" s="66">
        <v>851</v>
      </c>
      <c r="L143" s="66">
        <v>7500</v>
      </c>
      <c r="M143" s="31">
        <v>1850</v>
      </c>
      <c r="N143" s="50" t="s">
        <v>419</v>
      </c>
      <c r="O143" s="61" t="s">
        <v>42</v>
      </c>
      <c r="P143" s="13" t="s">
        <v>456</v>
      </c>
      <c r="Q143" s="29">
        <v>13.778700000000001</v>
      </c>
      <c r="T143" s="9">
        <v>312.76400000000001</v>
      </c>
      <c r="U143" s="9">
        <v>260</v>
      </c>
      <c r="V143" s="9">
        <v>365</v>
      </c>
      <c r="X143" s="13" t="s">
        <v>100</v>
      </c>
      <c r="Y143" s="79" t="s">
        <v>410</v>
      </c>
      <c r="Z143" s="14">
        <f t="shared" si="28"/>
        <v>121</v>
      </c>
      <c r="AA143" s="14">
        <v>123</v>
      </c>
      <c r="AB143" s="14">
        <v>119</v>
      </c>
      <c r="AC143" s="9">
        <f t="shared" si="29"/>
        <v>592.875</v>
      </c>
      <c r="AD143" s="9">
        <f t="shared" si="30"/>
        <v>395.25</v>
      </c>
      <c r="AE143" s="9">
        <v>790.5</v>
      </c>
      <c r="AF143" s="61" t="s">
        <v>118</v>
      </c>
      <c r="AG143" s="61" t="s">
        <v>42</v>
      </c>
      <c r="AQ143" s="79"/>
    </row>
    <row r="144" spans="1:43">
      <c r="A144" s="16" t="s">
        <v>85</v>
      </c>
      <c r="B144" s="60" t="s">
        <v>412</v>
      </c>
      <c r="C144" s="24">
        <v>294.33655999999996</v>
      </c>
      <c r="D144" s="34"/>
      <c r="E144" s="34"/>
      <c r="F144" s="31">
        <f t="shared" si="25"/>
        <v>50.064999999999998</v>
      </c>
      <c r="G144" s="31">
        <f t="shared" si="26"/>
        <v>0</v>
      </c>
      <c r="H144" s="31">
        <f t="shared" si="27"/>
        <v>270.59166666666664</v>
      </c>
      <c r="I144" s="66">
        <v>158.1</v>
      </c>
      <c r="J144" s="66">
        <v>0</v>
      </c>
      <c r="K144" s="66">
        <v>854.5</v>
      </c>
      <c r="L144" s="66">
        <v>6000</v>
      </c>
      <c r="M144" s="31">
        <v>1900</v>
      </c>
      <c r="N144" s="50" t="s">
        <v>420</v>
      </c>
      <c r="O144" s="61" t="s">
        <v>42</v>
      </c>
      <c r="P144" s="13" t="s">
        <v>456</v>
      </c>
      <c r="Q144" s="29">
        <v>13.7857</v>
      </c>
      <c r="T144" s="9">
        <v>294.17500000000001</v>
      </c>
      <c r="U144" s="9">
        <v>250</v>
      </c>
      <c r="V144" s="9">
        <v>341</v>
      </c>
      <c r="X144" s="13" t="s">
        <v>100</v>
      </c>
      <c r="Y144" s="79" t="s">
        <v>410</v>
      </c>
      <c r="Z144" s="14">
        <f t="shared" si="28"/>
        <v>121</v>
      </c>
      <c r="AA144" s="14">
        <v>123</v>
      </c>
      <c r="AB144" s="14">
        <v>119</v>
      </c>
      <c r="AC144" s="9">
        <f t="shared" si="29"/>
        <v>907.875</v>
      </c>
      <c r="AD144" s="9">
        <f t="shared" si="30"/>
        <v>605.25</v>
      </c>
      <c r="AE144" s="9">
        <v>1210.5</v>
      </c>
      <c r="AF144" s="61" t="s">
        <v>118</v>
      </c>
      <c r="AG144" s="61" t="s">
        <v>42</v>
      </c>
      <c r="AQ144" s="79"/>
    </row>
    <row r="145" spans="1:43">
      <c r="A145" s="16" t="s">
        <v>85</v>
      </c>
      <c r="B145" s="60" t="s">
        <v>412</v>
      </c>
      <c r="C145" s="24">
        <v>293.06599999999997</v>
      </c>
      <c r="D145" s="34"/>
      <c r="E145" s="34"/>
      <c r="F145" s="31">
        <f t="shared" si="25"/>
        <v>208.27166666666668</v>
      </c>
      <c r="G145" s="31">
        <f t="shared" si="26"/>
        <v>0</v>
      </c>
      <c r="H145" s="31">
        <f t="shared" si="27"/>
        <v>468.12833333333333</v>
      </c>
      <c r="I145" s="66">
        <v>657.7</v>
      </c>
      <c r="J145" s="66">
        <v>0</v>
      </c>
      <c r="K145" s="66">
        <v>1478.3</v>
      </c>
      <c r="L145" s="66">
        <v>6000</v>
      </c>
      <c r="M145" s="31">
        <v>1900</v>
      </c>
      <c r="N145" s="50" t="s">
        <v>420</v>
      </c>
      <c r="O145" s="61" t="s">
        <v>42</v>
      </c>
      <c r="P145" s="13" t="s">
        <v>456</v>
      </c>
      <c r="Q145" s="29">
        <v>13.7919</v>
      </c>
      <c r="T145" s="9">
        <v>315.01900000000001</v>
      </c>
      <c r="U145" s="9">
        <v>261</v>
      </c>
      <c r="V145" s="9">
        <v>374</v>
      </c>
      <c r="X145" s="13" t="s">
        <v>100</v>
      </c>
      <c r="Y145" s="79" t="s">
        <v>410</v>
      </c>
      <c r="Z145" s="14">
        <f t="shared" si="28"/>
        <v>121</v>
      </c>
      <c r="AA145" s="14">
        <v>123</v>
      </c>
      <c r="AB145" s="14">
        <v>119</v>
      </c>
      <c r="AC145" s="9">
        <f t="shared" si="29"/>
        <v>781.94999999999993</v>
      </c>
      <c r="AD145" s="9">
        <f t="shared" si="30"/>
        <v>521.29999999999995</v>
      </c>
      <c r="AE145" s="9">
        <v>1042.5999999999999</v>
      </c>
      <c r="AF145" s="61" t="s">
        <v>118</v>
      </c>
      <c r="AG145" s="61" t="s">
        <v>42</v>
      </c>
      <c r="AQ145" s="79"/>
    </row>
    <row r="146" spans="1:43">
      <c r="A146" s="16" t="s">
        <v>85</v>
      </c>
      <c r="B146" s="60" t="s">
        <v>412</v>
      </c>
      <c r="C146" s="24">
        <v>290.52487999999994</v>
      </c>
      <c r="D146" s="34"/>
      <c r="E146" s="34"/>
      <c r="F146" s="31">
        <f t="shared" si="25"/>
        <v>600.17833333333328</v>
      </c>
      <c r="G146" s="31">
        <f t="shared" si="26"/>
        <v>233.82666666666665</v>
      </c>
      <c r="H146" s="31">
        <f t="shared" si="27"/>
        <v>966.49833333333333</v>
      </c>
      <c r="I146" s="66">
        <v>1895.3</v>
      </c>
      <c r="J146" s="66">
        <v>738.4</v>
      </c>
      <c r="K146" s="66">
        <v>3052.1</v>
      </c>
      <c r="L146" s="66">
        <v>6000</v>
      </c>
      <c r="M146" s="31">
        <v>1900</v>
      </c>
      <c r="N146" s="50" t="s">
        <v>420</v>
      </c>
      <c r="O146" s="61" t="s">
        <v>42</v>
      </c>
      <c r="P146" s="13" t="s">
        <v>456</v>
      </c>
      <c r="Q146" s="29">
        <v>13.7989</v>
      </c>
      <c r="T146" s="9">
        <v>329.416</v>
      </c>
      <c r="U146" s="9">
        <v>283</v>
      </c>
      <c r="V146" s="9">
        <v>378</v>
      </c>
      <c r="X146" s="13" t="s">
        <v>100</v>
      </c>
      <c r="Y146" s="79" t="s">
        <v>410</v>
      </c>
      <c r="Z146" s="14">
        <f t="shared" si="28"/>
        <v>121</v>
      </c>
      <c r="AA146" s="14">
        <v>123</v>
      </c>
      <c r="AB146" s="14">
        <v>119</v>
      </c>
      <c r="AC146" s="9">
        <f t="shared" si="29"/>
        <v>733.875</v>
      </c>
      <c r="AD146" s="9">
        <f t="shared" si="30"/>
        <v>489.25</v>
      </c>
      <c r="AE146" s="9">
        <v>978.5</v>
      </c>
      <c r="AF146" s="61" t="s">
        <v>118</v>
      </c>
      <c r="AG146" s="61" t="s">
        <v>42</v>
      </c>
      <c r="AQ146" s="79"/>
    </row>
    <row r="147" spans="1:43">
      <c r="A147" s="16" t="s">
        <v>85</v>
      </c>
      <c r="B147" s="60" t="s">
        <v>412</v>
      </c>
      <c r="C147" s="24">
        <v>290.47194000000002</v>
      </c>
      <c r="D147" s="34"/>
      <c r="E147" s="34"/>
      <c r="F147" s="31">
        <f t="shared" si="25"/>
        <v>461.42857142857144</v>
      </c>
      <c r="G147" s="31">
        <f t="shared" si="26"/>
        <v>143.77571428571432</v>
      </c>
      <c r="H147" s="31">
        <f t="shared" si="27"/>
        <v>677.73</v>
      </c>
      <c r="I147" s="66">
        <v>1700</v>
      </c>
      <c r="J147" s="66">
        <v>529.70000000000005</v>
      </c>
      <c r="K147" s="66">
        <v>2496.9</v>
      </c>
      <c r="L147" s="66">
        <v>7000</v>
      </c>
      <c r="M147" s="31">
        <v>1900</v>
      </c>
      <c r="N147" s="50" t="s">
        <v>421</v>
      </c>
      <c r="O147" s="61" t="s">
        <v>42</v>
      </c>
      <c r="P147" s="13" t="s">
        <v>459</v>
      </c>
      <c r="Q147" s="29">
        <v>2.8099600000000002</v>
      </c>
      <c r="T147" s="9">
        <v>282.2396699584927</v>
      </c>
      <c r="U147" s="9">
        <v>239.269240149843</v>
      </c>
      <c r="V147" s="9">
        <v>326.17062428134801</v>
      </c>
      <c r="X147" s="13" t="s">
        <v>100</v>
      </c>
      <c r="Y147" s="79" t="s">
        <v>410</v>
      </c>
      <c r="Z147" s="14">
        <f t="shared" si="28"/>
        <v>121</v>
      </c>
      <c r="AA147" s="14">
        <v>123</v>
      </c>
      <c r="AB147" s="14">
        <v>119</v>
      </c>
      <c r="AC147" s="9">
        <f t="shared" si="29"/>
        <v>769.34999999999991</v>
      </c>
      <c r="AD147" s="9">
        <f t="shared" si="30"/>
        <v>512.9</v>
      </c>
      <c r="AE147" s="9">
        <v>1025.8</v>
      </c>
      <c r="AF147" s="61" t="s">
        <v>118</v>
      </c>
      <c r="AG147" s="61" t="s">
        <v>42</v>
      </c>
      <c r="AQ147" s="79"/>
    </row>
    <row r="148" spans="1:43">
      <c r="A148" s="16" t="s">
        <v>85</v>
      </c>
      <c r="B148" s="60" t="s">
        <v>412</v>
      </c>
      <c r="C148" s="24">
        <v>290.41899999999998</v>
      </c>
      <c r="D148" s="34"/>
      <c r="E148" s="34"/>
      <c r="F148" s="31">
        <f t="shared" si="25"/>
        <v>1700</v>
      </c>
      <c r="G148" s="31">
        <f t="shared" si="26"/>
        <v>529.70000000000005</v>
      </c>
      <c r="H148" s="31">
        <f t="shared" si="27"/>
        <v>2496.9</v>
      </c>
      <c r="I148" s="66">
        <v>1700</v>
      </c>
      <c r="J148" s="66">
        <v>529.70000000000005</v>
      </c>
      <c r="K148" s="66">
        <v>2496.9</v>
      </c>
      <c r="L148" s="66">
        <v>2000</v>
      </c>
      <c r="M148" s="31">
        <v>2000</v>
      </c>
      <c r="N148" s="50" t="s">
        <v>413</v>
      </c>
      <c r="O148" s="61" t="s">
        <v>42</v>
      </c>
      <c r="P148" s="13" t="s">
        <v>459</v>
      </c>
      <c r="Q148" s="29">
        <v>2.8514999999999899</v>
      </c>
      <c r="T148" s="9">
        <v>293.9200246196408</v>
      </c>
      <c r="U148" s="9">
        <v>243.813054186004</v>
      </c>
      <c r="V148" s="9">
        <v>345.70634109620499</v>
      </c>
      <c r="X148" s="13" t="s">
        <v>100</v>
      </c>
      <c r="Y148" s="79" t="s">
        <v>409</v>
      </c>
      <c r="Z148" s="14">
        <f t="shared" si="28"/>
        <v>101.75</v>
      </c>
      <c r="AA148" s="14">
        <v>103</v>
      </c>
      <c r="AB148" s="14">
        <v>100.5</v>
      </c>
      <c r="AC148" s="9">
        <f t="shared" si="29"/>
        <v>973.5</v>
      </c>
      <c r="AD148" s="9">
        <f t="shared" si="30"/>
        <v>649</v>
      </c>
      <c r="AE148" s="9">
        <v>1298</v>
      </c>
      <c r="AF148" s="61" t="s">
        <v>118</v>
      </c>
      <c r="AG148" s="61" t="s">
        <v>42</v>
      </c>
      <c r="AQ148" s="79"/>
    </row>
    <row r="149" spans="1:43">
      <c r="A149" s="16" t="s">
        <v>85</v>
      </c>
      <c r="B149" s="60" t="s">
        <v>412</v>
      </c>
      <c r="C149" s="33">
        <v>290.41899999999998</v>
      </c>
      <c r="D149" s="33"/>
      <c r="E149" s="34"/>
      <c r="F149" s="31">
        <f t="shared" si="25"/>
        <v>419.33333333333331</v>
      </c>
      <c r="G149" s="31">
        <f t="shared" si="26"/>
        <v>130.65933333333334</v>
      </c>
      <c r="H149" s="31">
        <f t="shared" si="27"/>
        <v>615.90200000000004</v>
      </c>
      <c r="I149" s="66">
        <v>1700</v>
      </c>
      <c r="J149" s="66">
        <v>529.70000000000005</v>
      </c>
      <c r="K149" s="66">
        <v>2496.9</v>
      </c>
      <c r="L149" s="66">
        <v>7500</v>
      </c>
      <c r="M149" s="31">
        <v>1850</v>
      </c>
      <c r="N149" s="50" t="s">
        <v>422</v>
      </c>
      <c r="O149" s="61" t="s">
        <v>42</v>
      </c>
      <c r="P149" s="13" t="s">
        <v>459</v>
      </c>
      <c r="Q149" s="29">
        <v>2.8615999999999997</v>
      </c>
      <c r="T149" s="9">
        <v>287.61693156822099</v>
      </c>
      <c r="U149" s="9">
        <v>250.286147000276</v>
      </c>
      <c r="V149" s="9">
        <v>325.88236571764702</v>
      </c>
      <c r="X149" s="13" t="s">
        <v>100</v>
      </c>
      <c r="Y149" s="79" t="s">
        <v>409</v>
      </c>
      <c r="Z149" s="14">
        <f t="shared" si="28"/>
        <v>101.75</v>
      </c>
      <c r="AA149" s="14">
        <v>103</v>
      </c>
      <c r="AB149" s="14">
        <v>100.5</v>
      </c>
      <c r="AC149" s="9">
        <f t="shared" si="29"/>
        <v>851.77500000000009</v>
      </c>
      <c r="AD149" s="9">
        <f t="shared" si="30"/>
        <v>567.85</v>
      </c>
      <c r="AE149" s="9">
        <v>1135.7</v>
      </c>
      <c r="AF149" s="61" t="s">
        <v>118</v>
      </c>
      <c r="AG149" s="61" t="s">
        <v>42</v>
      </c>
      <c r="AQ149" s="79"/>
    </row>
    <row r="150" spans="1:43">
      <c r="A150" s="16" t="s">
        <v>85</v>
      </c>
      <c r="B150" s="60" t="s">
        <v>412</v>
      </c>
      <c r="C150" s="24">
        <v>290.20724000000001</v>
      </c>
      <c r="D150" s="34"/>
      <c r="E150" s="34"/>
      <c r="F150" s="31">
        <f t="shared" si="25"/>
        <v>410.75285714285712</v>
      </c>
      <c r="G150" s="31">
        <f t="shared" si="26"/>
        <v>95.841428571428565</v>
      </c>
      <c r="H150" s="31">
        <f t="shared" si="27"/>
        <v>538.40571428571434</v>
      </c>
      <c r="I150" s="66">
        <v>1513.3</v>
      </c>
      <c r="J150" s="66">
        <v>353.1</v>
      </c>
      <c r="K150" s="66">
        <v>1983.6</v>
      </c>
      <c r="L150" s="66">
        <v>7000</v>
      </c>
      <c r="M150" s="31">
        <v>1900</v>
      </c>
      <c r="N150" s="50" t="s">
        <v>421</v>
      </c>
      <c r="O150" s="61" t="s">
        <v>42</v>
      </c>
      <c r="P150" s="13" t="s">
        <v>459</v>
      </c>
      <c r="Q150" s="29">
        <v>2.9016333333333302</v>
      </c>
      <c r="T150" s="9">
        <v>269.94279378033445</v>
      </c>
      <c r="U150" s="9">
        <v>234.09336110679899</v>
      </c>
      <c r="V150" s="9">
        <v>306.47969831491599</v>
      </c>
      <c r="X150" s="13" t="s">
        <v>100</v>
      </c>
      <c r="Y150" s="79" t="s">
        <v>409</v>
      </c>
      <c r="Z150" s="14">
        <f t="shared" si="28"/>
        <v>101.75</v>
      </c>
      <c r="AA150" s="14">
        <v>103</v>
      </c>
      <c r="AB150" s="14">
        <v>100.5</v>
      </c>
      <c r="AC150" s="9">
        <f t="shared" si="29"/>
        <v>917.32499999999993</v>
      </c>
      <c r="AD150" s="9">
        <f t="shared" si="30"/>
        <v>611.54999999999995</v>
      </c>
      <c r="AE150" s="9">
        <v>1223.0999999999999</v>
      </c>
      <c r="AF150" s="61" t="s">
        <v>118</v>
      </c>
      <c r="AG150" s="61" t="s">
        <v>42</v>
      </c>
      <c r="AQ150" s="79"/>
    </row>
    <row r="151" spans="1:43">
      <c r="A151" s="16" t="s">
        <v>85</v>
      </c>
      <c r="B151" s="60" t="s">
        <v>412</v>
      </c>
      <c r="C151" s="24">
        <v>289.86266000000001</v>
      </c>
      <c r="D151" s="34"/>
      <c r="E151" s="34"/>
      <c r="F151" s="31">
        <f t="shared" si="25"/>
        <v>620</v>
      </c>
      <c r="G151" s="31">
        <f t="shared" si="26"/>
        <v>102.05</v>
      </c>
      <c r="H151" s="31">
        <f t="shared" si="27"/>
        <v>770.35</v>
      </c>
      <c r="I151" s="66">
        <v>1240</v>
      </c>
      <c r="J151" s="66">
        <v>204.1</v>
      </c>
      <c r="K151" s="66">
        <v>1540.7</v>
      </c>
      <c r="L151" s="66">
        <v>4000</v>
      </c>
      <c r="M151" s="31">
        <v>2000</v>
      </c>
      <c r="N151" s="50" t="s">
        <v>423</v>
      </c>
      <c r="O151" s="61" t="s">
        <v>42</v>
      </c>
      <c r="P151" s="13" t="s">
        <v>459</v>
      </c>
      <c r="Q151" s="29">
        <v>2.91737</v>
      </c>
      <c r="T151" s="9">
        <v>278.400464299828</v>
      </c>
      <c r="U151" s="9">
        <v>241.64884251980101</v>
      </c>
      <c r="V151" s="9">
        <v>315.40622730689699</v>
      </c>
      <c r="X151" s="13" t="s">
        <v>100</v>
      </c>
      <c r="Y151" s="79" t="s">
        <v>409</v>
      </c>
      <c r="Z151" s="14">
        <f t="shared" si="28"/>
        <v>101.75</v>
      </c>
      <c r="AA151" s="14">
        <v>103</v>
      </c>
      <c r="AB151" s="14">
        <v>100.5</v>
      </c>
      <c r="AC151" s="9">
        <f t="shared" si="29"/>
        <v>954</v>
      </c>
      <c r="AD151" s="9">
        <f t="shared" si="30"/>
        <v>636</v>
      </c>
      <c r="AE151" s="9">
        <v>1272</v>
      </c>
      <c r="AF151" s="61" t="s">
        <v>118</v>
      </c>
      <c r="AG151" s="61" t="s">
        <v>42</v>
      </c>
      <c r="AQ151" s="79"/>
    </row>
    <row r="152" spans="1:43">
      <c r="A152" s="16" t="s">
        <v>85</v>
      </c>
      <c r="B152" s="60" t="s">
        <v>412</v>
      </c>
      <c r="C152" s="33">
        <v>289.37174000000005</v>
      </c>
      <c r="D152" s="33"/>
      <c r="E152" s="34"/>
      <c r="F152" s="31">
        <f t="shared" si="25"/>
        <v>182.20090909090908</v>
      </c>
      <c r="G152" s="31">
        <f t="shared" si="26"/>
        <v>11.097272727272728</v>
      </c>
      <c r="H152" s="31">
        <f t="shared" si="27"/>
        <v>353.30454545454546</v>
      </c>
      <c r="I152" s="66">
        <v>513.9</v>
      </c>
      <c r="J152" s="66">
        <v>31.3</v>
      </c>
      <c r="K152" s="66">
        <v>996.5</v>
      </c>
      <c r="L152" s="66">
        <v>5500</v>
      </c>
      <c r="M152" s="31">
        <v>1950</v>
      </c>
      <c r="N152" s="50" t="s">
        <v>418</v>
      </c>
      <c r="O152" s="61" t="s">
        <v>42</v>
      </c>
      <c r="P152" s="13" t="s">
        <v>459</v>
      </c>
      <c r="Q152" s="29">
        <v>2.9266999999999999</v>
      </c>
      <c r="T152" s="9">
        <v>269.73342162946511</v>
      </c>
      <c r="U152" s="9">
        <v>234.63170474767699</v>
      </c>
      <c r="V152" s="9">
        <v>305.80667367239897</v>
      </c>
      <c r="X152" s="13" t="s">
        <v>123</v>
      </c>
      <c r="Y152" t="s">
        <v>116</v>
      </c>
      <c r="Z152" s="11">
        <f t="shared" si="28"/>
        <v>3.8899999999999997</v>
      </c>
      <c r="AA152" s="14">
        <v>4.18</v>
      </c>
      <c r="AB152" s="14">
        <v>3.6</v>
      </c>
      <c r="AC152" s="52">
        <v>355.26343750987434</v>
      </c>
      <c r="AD152" s="52">
        <v>305.5001520829469</v>
      </c>
      <c r="AE152" s="52">
        <v>810.94338311864931</v>
      </c>
      <c r="AF152" s="52" t="s">
        <v>376</v>
      </c>
      <c r="AG152" s="61" t="s">
        <v>42</v>
      </c>
      <c r="AQ152" s="79"/>
    </row>
    <row r="153" spans="1:43">
      <c r="A153" s="16" t="s">
        <v>85</v>
      </c>
      <c r="B153" s="60" t="s">
        <v>412</v>
      </c>
      <c r="C153" s="24">
        <v>288.88082000000003</v>
      </c>
      <c r="D153" s="34"/>
      <c r="E153" s="34"/>
      <c r="F153" s="31">
        <f t="shared" si="25"/>
        <v>183.08727272727273</v>
      </c>
      <c r="G153" s="31">
        <f t="shared" si="26"/>
        <v>24.32181818181818</v>
      </c>
      <c r="H153" s="31">
        <f t="shared" si="27"/>
        <v>341.85272727272729</v>
      </c>
      <c r="I153" s="66">
        <v>516.4</v>
      </c>
      <c r="J153" s="66">
        <v>68.599999999999994</v>
      </c>
      <c r="K153" s="66">
        <v>964.2</v>
      </c>
      <c r="L153" s="66">
        <v>5500</v>
      </c>
      <c r="M153" s="31">
        <v>1950</v>
      </c>
      <c r="N153" s="50" t="s">
        <v>418</v>
      </c>
      <c r="O153" s="61" t="s">
        <v>42</v>
      </c>
      <c r="P153" s="13" t="s">
        <v>459</v>
      </c>
      <c r="Q153" s="29">
        <v>2.9436399999999998</v>
      </c>
      <c r="T153" s="9">
        <v>307.3222955339748</v>
      </c>
      <c r="U153" s="9">
        <v>262.25375178603502</v>
      </c>
      <c r="V153" s="9">
        <v>352.83145166777399</v>
      </c>
      <c r="X153" s="13" t="s">
        <v>123</v>
      </c>
      <c r="Y153" t="s">
        <v>115</v>
      </c>
      <c r="Z153" s="14">
        <f t="shared" si="28"/>
        <v>11.96</v>
      </c>
      <c r="AA153" s="14">
        <v>12.29</v>
      </c>
      <c r="AB153" s="14">
        <v>11.63</v>
      </c>
      <c r="AC153" s="52">
        <v>468.21830831438854</v>
      </c>
      <c r="AD153" s="52">
        <v>382.17700887795252</v>
      </c>
      <c r="AE153" s="52">
        <v>661.10833967889027</v>
      </c>
      <c r="AF153" s="52" t="s">
        <v>376</v>
      </c>
      <c r="AG153" s="61" t="s">
        <v>42</v>
      </c>
      <c r="AQ153" s="79"/>
    </row>
    <row r="154" spans="1:43">
      <c r="A154" s="16" t="s">
        <v>85</v>
      </c>
      <c r="B154" s="60" t="s">
        <v>412</v>
      </c>
      <c r="C154" s="24">
        <v>287.40806000000003</v>
      </c>
      <c r="D154" s="34"/>
      <c r="E154" s="34"/>
      <c r="F154" s="31">
        <f t="shared" si="25"/>
        <v>396.61357142857145</v>
      </c>
      <c r="G154" s="31">
        <f t="shared" si="26"/>
        <v>248.87785714285715</v>
      </c>
      <c r="H154" s="31">
        <f t="shared" si="27"/>
        <v>544.32285714285717</v>
      </c>
      <c r="I154" s="66">
        <v>1500.7</v>
      </c>
      <c r="J154" s="66">
        <v>941.7</v>
      </c>
      <c r="K154" s="66">
        <v>2059.6</v>
      </c>
      <c r="L154" s="66">
        <v>7000</v>
      </c>
      <c r="M154" s="31">
        <v>1850</v>
      </c>
      <c r="N154" s="50" t="s">
        <v>424</v>
      </c>
      <c r="O154" s="61" t="s">
        <v>42</v>
      </c>
      <c r="P154" s="13" t="s">
        <v>459</v>
      </c>
      <c r="Q154" s="29">
        <v>2.9806999999999997</v>
      </c>
      <c r="T154" s="9">
        <v>258.16447077084558</v>
      </c>
      <c r="U154" s="9">
        <v>225.05438565956001</v>
      </c>
      <c r="V154" s="9">
        <v>291.62517578866601</v>
      </c>
      <c r="X154" s="13" t="s">
        <v>123</v>
      </c>
      <c r="Y154" t="s">
        <v>114</v>
      </c>
      <c r="Z154" s="14">
        <f t="shared" si="28"/>
        <v>34.450000000000003</v>
      </c>
      <c r="AA154" s="14">
        <v>35</v>
      </c>
      <c r="AB154" s="14">
        <v>33.9</v>
      </c>
      <c r="AC154" s="52">
        <v>672.22222222222217</v>
      </c>
      <c r="AD154" s="52">
        <v>448.14814814814815</v>
      </c>
      <c r="AE154" s="52">
        <v>896.2962962962963</v>
      </c>
      <c r="AF154" s="61" t="s">
        <v>118</v>
      </c>
      <c r="AG154" s="61" t="s">
        <v>42</v>
      </c>
      <c r="AQ154" s="79"/>
    </row>
    <row r="155" spans="1:43">
      <c r="A155" s="16" t="s">
        <v>85</v>
      </c>
      <c r="B155" s="60" t="s">
        <v>412</v>
      </c>
      <c r="C155" s="24">
        <v>287.03987000000001</v>
      </c>
      <c r="D155" s="34"/>
      <c r="E155" s="34"/>
      <c r="F155" s="31">
        <f t="shared" si="25"/>
        <v>1030</v>
      </c>
      <c r="G155" s="31">
        <f t="shared" si="26"/>
        <v>675.5</v>
      </c>
      <c r="H155" s="31">
        <f t="shared" si="27"/>
        <v>1396</v>
      </c>
      <c r="I155" s="66">
        <v>2060</v>
      </c>
      <c r="J155" s="66">
        <v>1351</v>
      </c>
      <c r="K155" s="66">
        <v>2792</v>
      </c>
      <c r="L155" s="66">
        <v>4000</v>
      </c>
      <c r="M155" s="31">
        <v>2000</v>
      </c>
      <c r="N155" s="50" t="s">
        <v>423</v>
      </c>
      <c r="O155" s="61" t="s">
        <v>42</v>
      </c>
      <c r="P155" s="13" t="s">
        <v>459</v>
      </c>
      <c r="Q155" s="29">
        <v>3.0021888888888797</v>
      </c>
      <c r="T155" s="9">
        <v>255.40982424803025</v>
      </c>
      <c r="U155" s="9">
        <v>222.28182690522601</v>
      </c>
      <c r="V155" s="9">
        <v>288.74595958986799</v>
      </c>
      <c r="X155" s="13" t="s">
        <v>123</v>
      </c>
      <c r="Y155" t="s">
        <v>113</v>
      </c>
      <c r="Z155" s="14">
        <f t="shared" si="28"/>
        <v>35.5</v>
      </c>
      <c r="AA155" s="14">
        <v>36</v>
      </c>
      <c r="AB155" s="14">
        <v>35</v>
      </c>
      <c r="AC155" s="52">
        <v>745.89041095890411</v>
      </c>
      <c r="AD155" s="52">
        <v>497.2602739726027</v>
      </c>
      <c r="AE155" s="52">
        <v>994.52054794520541</v>
      </c>
      <c r="AF155" s="61" t="s">
        <v>118</v>
      </c>
      <c r="AG155" s="61" t="s">
        <v>42</v>
      </c>
      <c r="AQ155" s="79"/>
    </row>
    <row r="156" spans="1:43">
      <c r="A156" s="16" t="s">
        <v>85</v>
      </c>
      <c r="B156" s="60" t="s">
        <v>412</v>
      </c>
      <c r="C156" s="24">
        <v>286.91714000000007</v>
      </c>
      <c r="D156" s="34"/>
      <c r="E156" s="34"/>
      <c r="F156" s="31">
        <f t="shared" si="25"/>
        <v>1448.9333333333334</v>
      </c>
      <c r="G156" s="31">
        <f t="shared" si="26"/>
        <v>898.5333333333333</v>
      </c>
      <c r="H156" s="31">
        <f t="shared" si="27"/>
        <v>1999.2666666666667</v>
      </c>
      <c r="I156" s="66">
        <v>2173.4</v>
      </c>
      <c r="J156" s="66">
        <v>1347.8</v>
      </c>
      <c r="K156" s="66">
        <v>2998.9</v>
      </c>
      <c r="L156" s="66">
        <v>3000</v>
      </c>
      <c r="M156" s="31">
        <v>2000</v>
      </c>
      <c r="N156" s="50" t="s">
        <v>425</v>
      </c>
      <c r="O156" s="61" t="s">
        <v>42</v>
      </c>
      <c r="P156" s="13" t="s">
        <v>459</v>
      </c>
      <c r="Q156" s="29">
        <v>3.0161777777777701</v>
      </c>
      <c r="T156" s="9">
        <v>264.96751002432478</v>
      </c>
      <c r="U156" s="9">
        <v>228.889333096337</v>
      </c>
      <c r="V156" s="9">
        <v>300.91967307742101</v>
      </c>
      <c r="X156" s="13" t="s">
        <v>123</v>
      </c>
      <c r="Y156" t="s">
        <v>112</v>
      </c>
      <c r="Z156" s="14">
        <f t="shared" si="28"/>
        <v>46.4</v>
      </c>
      <c r="AA156" s="14">
        <v>47.8</v>
      </c>
      <c r="AB156" s="14">
        <v>45</v>
      </c>
      <c r="AC156" s="52">
        <v>907.5</v>
      </c>
      <c r="AD156" s="52">
        <v>605</v>
      </c>
      <c r="AE156" s="52">
        <v>1210</v>
      </c>
      <c r="AF156" s="61" t="s">
        <v>118</v>
      </c>
      <c r="AG156" s="61" t="s">
        <v>42</v>
      </c>
      <c r="AQ156" s="79"/>
    </row>
    <row r="157" spans="1:43">
      <c r="A157" s="16" t="s">
        <v>85</v>
      </c>
      <c r="B157" s="60" t="s">
        <v>412</v>
      </c>
      <c r="C157" s="24">
        <v>285.81256999999999</v>
      </c>
      <c r="D157" s="34"/>
      <c r="E157" s="34"/>
      <c r="F157" s="31">
        <f t="shared" si="25"/>
        <v>774.43363636363631</v>
      </c>
      <c r="G157" s="31">
        <f t="shared" si="26"/>
        <v>464.77363636363634</v>
      </c>
      <c r="H157" s="31">
        <f t="shared" si="27"/>
        <v>1084.0581818181818</v>
      </c>
      <c r="I157" s="66">
        <v>2184.3000000000002</v>
      </c>
      <c r="J157" s="66">
        <v>1310.9</v>
      </c>
      <c r="K157" s="66">
        <v>3057.6</v>
      </c>
      <c r="L157" s="66">
        <v>5500</v>
      </c>
      <c r="M157" s="31">
        <v>1950</v>
      </c>
      <c r="N157" s="50" t="s">
        <v>418</v>
      </c>
      <c r="O157" s="61" t="s">
        <v>42</v>
      </c>
      <c r="P157" s="13" t="s">
        <v>459</v>
      </c>
      <c r="Q157" s="29">
        <v>3.0341399999999998</v>
      </c>
      <c r="T157" s="9">
        <v>262.16563832269833</v>
      </c>
      <c r="U157" s="9">
        <v>218.57940932059199</v>
      </c>
      <c r="V157" s="9">
        <v>307.99503605164699</v>
      </c>
      <c r="X157" s="13" t="s">
        <v>123</v>
      </c>
      <c r="Y157" t="s">
        <v>111</v>
      </c>
      <c r="Z157" s="14">
        <f t="shared" si="28"/>
        <v>118</v>
      </c>
      <c r="AA157" s="14">
        <v>123</v>
      </c>
      <c r="AB157" s="14">
        <v>113</v>
      </c>
      <c r="AC157" s="52">
        <v>892.62295081967204</v>
      </c>
      <c r="AD157" s="52">
        <v>595.08196721311469</v>
      </c>
      <c r="AE157" s="52">
        <v>1190.1639344262294</v>
      </c>
      <c r="AF157" s="61" t="s">
        <v>118</v>
      </c>
      <c r="AG157" s="61" t="s">
        <v>42</v>
      </c>
      <c r="AQ157" s="79"/>
    </row>
    <row r="158" spans="1:43">
      <c r="A158" s="16" t="s">
        <v>85</v>
      </c>
      <c r="B158" s="60" t="s">
        <v>412</v>
      </c>
      <c r="C158" s="24">
        <v>284.95346000000001</v>
      </c>
      <c r="D158" s="34"/>
      <c r="E158" s="34"/>
      <c r="F158" s="31">
        <f t="shared" si="25"/>
        <v>792.09</v>
      </c>
      <c r="G158" s="31">
        <f t="shared" si="26"/>
        <v>460.05818181818182</v>
      </c>
      <c r="H158" s="31">
        <f t="shared" si="27"/>
        <v>1124.1218181818181</v>
      </c>
      <c r="I158" s="66">
        <v>2234.1</v>
      </c>
      <c r="J158" s="66">
        <v>1297.5999999999999</v>
      </c>
      <c r="K158" s="66">
        <v>3170.6</v>
      </c>
      <c r="L158" s="66">
        <v>5500</v>
      </c>
      <c r="M158" s="31">
        <v>1950</v>
      </c>
      <c r="N158" s="50" t="s">
        <v>418</v>
      </c>
      <c r="O158" s="61" t="s">
        <v>42</v>
      </c>
      <c r="P158" s="13" t="s">
        <v>459</v>
      </c>
      <c r="Q158" s="29">
        <v>3.06914444444444</v>
      </c>
      <c r="T158" s="9">
        <v>283.98819412127403</v>
      </c>
      <c r="U158" s="9">
        <v>221.18982422822401</v>
      </c>
      <c r="V158" s="9">
        <v>352.16907386704997</v>
      </c>
      <c r="X158" s="13" t="s">
        <v>123</v>
      </c>
      <c r="Y158" t="s">
        <v>110</v>
      </c>
      <c r="Z158" s="14">
        <f t="shared" si="28"/>
        <v>124.65</v>
      </c>
      <c r="AA158" s="14">
        <v>126.3</v>
      </c>
      <c r="AB158" s="14">
        <v>123</v>
      </c>
      <c r="AC158" s="52">
        <v>1008.3333333333333</v>
      </c>
      <c r="AD158" s="52">
        <v>672.22222222222217</v>
      </c>
      <c r="AE158" s="52">
        <v>1344.4444444444443</v>
      </c>
      <c r="AF158" s="61" t="s">
        <v>118</v>
      </c>
      <c r="AG158" s="61" t="s">
        <v>42</v>
      </c>
      <c r="AQ158" s="79"/>
    </row>
    <row r="159" spans="1:43">
      <c r="A159" s="16" t="s">
        <v>85</v>
      </c>
      <c r="B159" s="60" t="s">
        <v>412</v>
      </c>
      <c r="C159" s="24">
        <v>284.83073000000007</v>
      </c>
      <c r="D159" s="34"/>
      <c r="E159" s="34"/>
      <c r="F159" s="31">
        <f t="shared" si="25"/>
        <v>792.09</v>
      </c>
      <c r="G159" s="31">
        <f t="shared" si="26"/>
        <v>460.05818181818182</v>
      </c>
      <c r="H159" s="31">
        <f t="shared" si="27"/>
        <v>1124.1218181818181</v>
      </c>
      <c r="I159" s="66">
        <v>2234.1</v>
      </c>
      <c r="J159" s="66">
        <v>1297.5999999999999</v>
      </c>
      <c r="K159" s="66">
        <v>3170.6</v>
      </c>
      <c r="L159" s="66">
        <v>5500</v>
      </c>
      <c r="M159" s="31">
        <v>1950</v>
      </c>
      <c r="N159" s="50" t="s">
        <v>418</v>
      </c>
      <c r="O159" s="61" t="s">
        <v>42</v>
      </c>
      <c r="P159" s="13" t="s">
        <v>459</v>
      </c>
      <c r="Q159" s="29">
        <v>3.08716666666666</v>
      </c>
      <c r="T159" s="9">
        <v>254.18478713974676</v>
      </c>
      <c r="U159" s="9">
        <v>220.228436319026</v>
      </c>
      <c r="V159" s="9">
        <v>287.97398676478502</v>
      </c>
      <c r="X159" s="13" t="s">
        <v>123</v>
      </c>
      <c r="Y159" t="s">
        <v>109</v>
      </c>
      <c r="Z159" s="14">
        <f t="shared" si="28"/>
        <v>127.9</v>
      </c>
      <c r="AA159" s="14">
        <v>129.5</v>
      </c>
      <c r="AB159" s="14">
        <v>126.3</v>
      </c>
      <c r="AC159" s="52">
        <v>591.8478260869565</v>
      </c>
      <c r="AD159" s="52">
        <v>394.56521739130437</v>
      </c>
      <c r="AE159" s="52">
        <v>789.13043478260875</v>
      </c>
      <c r="AF159" s="61" t="s">
        <v>118</v>
      </c>
      <c r="AG159" s="61" t="s">
        <v>42</v>
      </c>
      <c r="AQ159" s="79"/>
    </row>
    <row r="160" spans="1:43">
      <c r="A160" s="16" t="s">
        <v>85</v>
      </c>
      <c r="B160" s="60" t="s">
        <v>412</v>
      </c>
      <c r="C160" s="24">
        <v>284.46254000000005</v>
      </c>
      <c r="D160" s="34"/>
      <c r="E160" s="34"/>
      <c r="F160" s="31">
        <f t="shared" si="25"/>
        <v>823.99909090909091</v>
      </c>
      <c r="G160" s="31">
        <f t="shared" si="26"/>
        <v>480.48</v>
      </c>
      <c r="H160" s="31">
        <f t="shared" si="27"/>
        <v>1167.5536363636363</v>
      </c>
      <c r="I160" s="66">
        <v>2324.1</v>
      </c>
      <c r="J160" s="66">
        <v>1355.2</v>
      </c>
      <c r="K160" s="66">
        <v>3293.1</v>
      </c>
      <c r="L160" s="66">
        <v>5500</v>
      </c>
      <c r="M160" s="31">
        <v>1950</v>
      </c>
      <c r="N160" s="50" t="s">
        <v>418</v>
      </c>
      <c r="O160" s="61" t="s">
        <v>42</v>
      </c>
      <c r="P160" s="13" t="s">
        <v>459</v>
      </c>
      <c r="Q160" s="29">
        <v>3.0962999999999901</v>
      </c>
      <c r="T160" s="9">
        <v>275.09900790638841</v>
      </c>
      <c r="U160" s="9">
        <v>234.51879744830899</v>
      </c>
      <c r="V160" s="9">
        <v>316.25129177342001</v>
      </c>
      <c r="X160" s="13" t="s">
        <v>123</v>
      </c>
      <c r="Y160" t="s">
        <v>108</v>
      </c>
      <c r="Z160" s="14">
        <f t="shared" si="28"/>
        <v>142</v>
      </c>
      <c r="AA160" s="14">
        <v>143</v>
      </c>
      <c r="AB160" s="14">
        <v>141</v>
      </c>
      <c r="AC160" s="52">
        <v>812.68656716417911</v>
      </c>
      <c r="AD160" s="52">
        <v>541.79104477611941</v>
      </c>
      <c r="AE160" s="52">
        <v>1083.5820895522388</v>
      </c>
      <c r="AF160" s="61" t="s">
        <v>118</v>
      </c>
      <c r="AG160" s="61" t="s">
        <v>42</v>
      </c>
      <c r="AQ160" s="79"/>
    </row>
    <row r="161" spans="1:43">
      <c r="A161" s="16" t="s">
        <v>85</v>
      </c>
      <c r="B161" s="60" t="s">
        <v>412</v>
      </c>
      <c r="C161" s="24">
        <v>283.84889000000004</v>
      </c>
      <c r="D161" s="34"/>
      <c r="E161" s="34"/>
      <c r="F161" s="31">
        <f t="shared" si="25"/>
        <v>1011.8018181818181</v>
      </c>
      <c r="G161" s="31">
        <f t="shared" si="26"/>
        <v>604.25181818181818</v>
      </c>
      <c r="H161" s="31">
        <f t="shared" si="27"/>
        <v>1419.3518181818181</v>
      </c>
      <c r="I161" s="66">
        <v>2853.8</v>
      </c>
      <c r="J161" s="66">
        <v>1704.3</v>
      </c>
      <c r="K161" s="66">
        <v>4003.3</v>
      </c>
      <c r="L161" s="66">
        <v>5500</v>
      </c>
      <c r="M161" s="31">
        <v>1950</v>
      </c>
      <c r="N161" s="50" t="s">
        <v>418</v>
      </c>
      <c r="O161" s="61" t="s">
        <v>42</v>
      </c>
      <c r="P161" s="13" t="s">
        <v>459</v>
      </c>
      <c r="Q161" s="29">
        <v>3.1061222222222198</v>
      </c>
      <c r="T161" s="9">
        <v>271.26109352573428</v>
      </c>
      <c r="U161" s="9">
        <v>234.176123044961</v>
      </c>
      <c r="V161" s="9">
        <v>308.5605853655</v>
      </c>
      <c r="X161" s="13" t="s">
        <v>123</v>
      </c>
      <c r="Y161" t="s">
        <v>108</v>
      </c>
      <c r="Z161" s="14">
        <f t="shared" si="28"/>
        <v>142</v>
      </c>
      <c r="AA161" s="14">
        <v>143</v>
      </c>
      <c r="AB161" s="14">
        <v>141</v>
      </c>
      <c r="AC161" s="52">
        <v>735.81081081081084</v>
      </c>
      <c r="AD161" s="52">
        <v>490.54054054054052</v>
      </c>
      <c r="AE161" s="52">
        <v>981.08108108108104</v>
      </c>
      <c r="AF161" s="61" t="s">
        <v>118</v>
      </c>
      <c r="AG161" s="61" t="s">
        <v>42</v>
      </c>
      <c r="AQ161" s="79"/>
    </row>
    <row r="162" spans="1:43">
      <c r="A162" s="16" t="s">
        <v>85</v>
      </c>
      <c r="B162" s="60" t="s">
        <v>412</v>
      </c>
      <c r="C162" s="34">
        <v>283.35797000000002</v>
      </c>
      <c r="D162" s="34"/>
      <c r="E162" s="34"/>
      <c r="F162" s="31">
        <f t="shared" si="25"/>
        <v>1099.8</v>
      </c>
      <c r="G162" s="31">
        <f t="shared" si="26"/>
        <v>679.45090909090914</v>
      </c>
      <c r="H162" s="31">
        <f t="shared" si="27"/>
        <v>1520.149090909091</v>
      </c>
      <c r="I162" s="67">
        <v>3102</v>
      </c>
      <c r="J162" s="67">
        <v>1916.4</v>
      </c>
      <c r="K162" s="67">
        <v>4287.6000000000004</v>
      </c>
      <c r="L162" s="67">
        <v>5500</v>
      </c>
      <c r="M162" s="31">
        <v>1950</v>
      </c>
      <c r="N162" s="50" t="s">
        <v>418</v>
      </c>
      <c r="O162" s="61" t="s">
        <v>42</v>
      </c>
      <c r="P162" s="13" t="s">
        <v>459</v>
      </c>
      <c r="Q162" s="29">
        <v>3.1304400000000001</v>
      </c>
      <c r="T162" s="9">
        <v>271.5924792684126</v>
      </c>
      <c r="U162" s="9">
        <v>235.564215319092</v>
      </c>
      <c r="V162" s="9">
        <v>308.275433996473</v>
      </c>
      <c r="X162" s="13" t="s">
        <v>123</v>
      </c>
      <c r="Y162" t="s">
        <v>107</v>
      </c>
      <c r="Z162" s="14">
        <f t="shared" si="28"/>
        <v>143.5</v>
      </c>
      <c r="AA162" s="14">
        <v>145</v>
      </c>
      <c r="AB162" s="14">
        <v>142</v>
      </c>
      <c r="AC162" s="52">
        <v>972.32142857142844</v>
      </c>
      <c r="AD162" s="52">
        <v>648.21428571428567</v>
      </c>
      <c r="AE162" s="52">
        <v>1296.4285714285713</v>
      </c>
      <c r="AF162" s="61" t="s">
        <v>118</v>
      </c>
      <c r="AG162" s="61" t="s">
        <v>42</v>
      </c>
      <c r="AQ162" s="79"/>
    </row>
    <row r="163" spans="1:43">
      <c r="A163" s="16" t="s">
        <v>85</v>
      </c>
      <c r="B163" s="60" t="s">
        <v>412</v>
      </c>
      <c r="C163" s="24">
        <v>282.37613000000005</v>
      </c>
      <c r="D163" s="24"/>
      <c r="E163" s="24"/>
      <c r="F163" s="31">
        <f t="shared" si="25"/>
        <v>899.4</v>
      </c>
      <c r="G163" s="31">
        <f t="shared" si="26"/>
        <v>565.83000000000004</v>
      </c>
      <c r="H163" s="31">
        <f t="shared" si="27"/>
        <v>1233</v>
      </c>
      <c r="I163" s="65">
        <v>2998</v>
      </c>
      <c r="J163" s="65">
        <v>1886.1</v>
      </c>
      <c r="K163" s="65">
        <v>4110</v>
      </c>
      <c r="L163" s="65">
        <v>6500</v>
      </c>
      <c r="M163" s="31">
        <v>1950</v>
      </c>
      <c r="N163" s="50" t="s">
        <v>418</v>
      </c>
      <c r="O163" s="61" t="s">
        <v>42</v>
      </c>
      <c r="P163" s="13" t="s">
        <v>459</v>
      </c>
      <c r="Q163" s="29">
        <v>3.1605666666666599</v>
      </c>
      <c r="T163" s="9">
        <v>277.80689090298984</v>
      </c>
      <c r="U163" s="9">
        <v>237.700642617542</v>
      </c>
      <c r="V163" s="9">
        <v>318.48556929497801</v>
      </c>
      <c r="X163" s="13" t="s">
        <v>123</v>
      </c>
      <c r="Y163" t="s">
        <v>106</v>
      </c>
      <c r="Z163" s="14">
        <f t="shared" si="28"/>
        <v>148</v>
      </c>
      <c r="AA163" s="14">
        <v>149</v>
      </c>
      <c r="AB163" s="14">
        <v>147</v>
      </c>
      <c r="AC163" s="52">
        <v>735.81081081081084</v>
      </c>
      <c r="AD163" s="52">
        <v>490.54054054054052</v>
      </c>
      <c r="AE163" s="52">
        <v>981.08108108108104</v>
      </c>
      <c r="AF163" s="61" t="s">
        <v>118</v>
      </c>
      <c r="AG163" s="61" t="s">
        <v>42</v>
      </c>
      <c r="AQ163" s="79"/>
    </row>
    <row r="164" spans="1:43">
      <c r="A164" s="16" t="s">
        <v>85</v>
      </c>
      <c r="B164" s="60" t="s">
        <v>412</v>
      </c>
      <c r="C164" s="24">
        <v>281.14883000000009</v>
      </c>
      <c r="D164" s="24"/>
      <c r="E164" s="24"/>
      <c r="F164" s="31">
        <f t="shared" si="25"/>
        <v>1248.3545454545454</v>
      </c>
      <c r="G164" s="31">
        <f t="shared" si="26"/>
        <v>759.32999999999993</v>
      </c>
      <c r="H164" s="31">
        <f t="shared" si="27"/>
        <v>1737.4145454545455</v>
      </c>
      <c r="I164" s="65">
        <v>3521</v>
      </c>
      <c r="J164" s="65">
        <v>2141.6999999999998</v>
      </c>
      <c r="K164" s="65">
        <v>4900.3999999999996</v>
      </c>
      <c r="L164" s="65">
        <v>5500</v>
      </c>
      <c r="M164" s="31">
        <v>1950</v>
      </c>
      <c r="N164" s="50" t="s">
        <v>418</v>
      </c>
      <c r="O164" s="61" t="s">
        <v>42</v>
      </c>
      <c r="P164" s="13" t="s">
        <v>459</v>
      </c>
      <c r="Q164" s="29">
        <v>3.1814</v>
      </c>
      <c r="T164" s="9">
        <v>259.33955862037277</v>
      </c>
      <c r="U164" s="9">
        <v>218.497985250005</v>
      </c>
      <c r="V164" s="9">
        <v>301.35862854760398</v>
      </c>
      <c r="X164" s="13" t="s">
        <v>123</v>
      </c>
      <c r="Y164" t="s">
        <v>105</v>
      </c>
      <c r="Z164" s="14">
        <f t="shared" si="28"/>
        <v>153.39999999999998</v>
      </c>
      <c r="AA164" s="14">
        <v>154.69999999999999</v>
      </c>
      <c r="AB164" s="14">
        <v>152.1</v>
      </c>
      <c r="AC164" s="52">
        <v>938.79310344827582</v>
      </c>
      <c r="AD164" s="52">
        <v>625.86206896551721</v>
      </c>
      <c r="AE164" s="52">
        <v>1251.7241379310344</v>
      </c>
      <c r="AF164" s="61" t="s">
        <v>118</v>
      </c>
      <c r="AG164" s="61" t="s">
        <v>42</v>
      </c>
      <c r="AQ164" s="79"/>
    </row>
    <row r="165" spans="1:43">
      <c r="A165" s="16" t="s">
        <v>85</v>
      </c>
      <c r="B165" s="60" t="s">
        <v>412</v>
      </c>
      <c r="C165" s="24">
        <v>277.61999999999995</v>
      </c>
      <c r="D165" s="24"/>
      <c r="E165" s="24"/>
      <c r="F165" s="31">
        <f t="shared" si="25"/>
        <v>1236.5836363636363</v>
      </c>
      <c r="G165" s="31">
        <f t="shared" si="26"/>
        <v>788.43818181818187</v>
      </c>
      <c r="H165" s="31">
        <f t="shared" si="27"/>
        <v>1684.7290909090909</v>
      </c>
      <c r="I165" s="65">
        <v>3487.8</v>
      </c>
      <c r="J165" s="65">
        <v>2223.8000000000002</v>
      </c>
      <c r="K165" s="65">
        <v>4751.8</v>
      </c>
      <c r="L165" s="65">
        <v>5500</v>
      </c>
      <c r="M165" s="31">
        <v>1950</v>
      </c>
      <c r="N165" s="50" t="s">
        <v>418</v>
      </c>
      <c r="O165" s="61" t="s">
        <v>42</v>
      </c>
      <c r="P165" s="13" t="s">
        <v>459</v>
      </c>
      <c r="Q165" s="29">
        <v>3.1899000000000002</v>
      </c>
      <c r="T165" s="9">
        <v>274.44930077451932</v>
      </c>
      <c r="U165" s="9">
        <v>235.139308623321</v>
      </c>
      <c r="V165" s="9">
        <v>314.29186016759201</v>
      </c>
      <c r="X165" s="13" t="s">
        <v>123</v>
      </c>
      <c r="Y165" t="s">
        <v>104</v>
      </c>
      <c r="Z165" s="14">
        <f t="shared" si="28"/>
        <v>203.15</v>
      </c>
      <c r="AA165" s="14">
        <v>205</v>
      </c>
      <c r="AB165" s="14">
        <v>201.3</v>
      </c>
      <c r="AC165" s="52">
        <v>907.5</v>
      </c>
      <c r="AD165" s="52">
        <v>605</v>
      </c>
      <c r="AE165" s="52">
        <v>1210</v>
      </c>
      <c r="AF165" s="61" t="s">
        <v>118</v>
      </c>
      <c r="AG165" s="61" t="s">
        <v>42</v>
      </c>
      <c r="AQ165" s="79"/>
    </row>
    <row r="166" spans="1:43">
      <c r="A166" s="16" t="s">
        <v>97</v>
      </c>
      <c r="B166" s="60" t="s">
        <v>267</v>
      </c>
      <c r="C166" s="18">
        <f t="shared" ref="C166:C208" si="31">AVERAGE(D166:E166)</f>
        <v>212.25</v>
      </c>
      <c r="D166" s="30">
        <v>215</v>
      </c>
      <c r="E166" s="30">
        <v>209.5</v>
      </c>
      <c r="F166" s="31">
        <f t="shared" si="25"/>
        <v>111</v>
      </c>
      <c r="G166" s="31">
        <f t="shared" si="26"/>
        <v>0</v>
      </c>
      <c r="H166" s="31">
        <f t="shared" si="27"/>
        <v>361</v>
      </c>
      <c r="I166" s="49">
        <v>222</v>
      </c>
      <c r="J166" s="49">
        <v>0</v>
      </c>
      <c r="K166" s="49">
        <f t="shared" ref="K166:K208" si="32">I166+500</f>
        <v>722</v>
      </c>
      <c r="L166" s="49">
        <v>4000</v>
      </c>
      <c r="M166" s="31">
        <v>2000</v>
      </c>
      <c r="N166" s="15" t="s">
        <v>98</v>
      </c>
      <c r="O166" s="61" t="s">
        <v>42</v>
      </c>
      <c r="P166" s="13" t="s">
        <v>459</v>
      </c>
      <c r="Q166" s="29">
        <v>3.1999933333333304</v>
      </c>
      <c r="T166" s="9">
        <v>272.17588474003503</v>
      </c>
      <c r="U166" s="9">
        <v>236.57543777709901</v>
      </c>
      <c r="V166" s="9">
        <v>308.37029809551598</v>
      </c>
      <c r="X166" s="13" t="s">
        <v>123</v>
      </c>
      <c r="Y166" t="s">
        <v>103</v>
      </c>
      <c r="Z166" s="14">
        <f t="shared" si="28"/>
        <v>230.5</v>
      </c>
      <c r="AA166" s="14">
        <v>233</v>
      </c>
      <c r="AB166" s="14">
        <v>228</v>
      </c>
      <c r="AC166" s="52">
        <v>812.68656716417911</v>
      </c>
      <c r="AD166" s="52">
        <v>541.79104477611941</v>
      </c>
      <c r="AE166" s="52">
        <v>1083.5820895522388</v>
      </c>
      <c r="AF166" s="61" t="s">
        <v>118</v>
      </c>
      <c r="AG166" s="61" t="s">
        <v>42</v>
      </c>
      <c r="AQ166" s="79"/>
    </row>
    <row r="167" spans="1:43">
      <c r="A167" s="16" t="s">
        <v>97</v>
      </c>
      <c r="B167" s="60" t="s">
        <v>267</v>
      </c>
      <c r="C167" s="18">
        <f t="shared" si="31"/>
        <v>212.25</v>
      </c>
      <c r="D167" s="30">
        <v>215</v>
      </c>
      <c r="E167" s="30">
        <v>209.5</v>
      </c>
      <c r="F167" s="31">
        <f t="shared" si="25"/>
        <v>544</v>
      </c>
      <c r="G167" s="31">
        <f t="shared" si="26"/>
        <v>210.66666666666666</v>
      </c>
      <c r="H167" s="31">
        <f t="shared" si="27"/>
        <v>877.33333333333337</v>
      </c>
      <c r="I167" s="49">
        <v>816</v>
      </c>
      <c r="J167" s="49">
        <f>I167-500</f>
        <v>316</v>
      </c>
      <c r="K167" s="49">
        <f t="shared" si="32"/>
        <v>1316</v>
      </c>
      <c r="L167" s="49">
        <v>3000</v>
      </c>
      <c r="M167" s="31">
        <v>2000</v>
      </c>
      <c r="N167" s="15" t="s">
        <v>55</v>
      </c>
      <c r="O167" s="61" t="s">
        <v>42</v>
      </c>
      <c r="P167" s="13" t="s">
        <v>459</v>
      </c>
      <c r="Q167" s="29">
        <v>3.2092333333333301</v>
      </c>
      <c r="T167" s="9">
        <v>267.04254016838206</v>
      </c>
      <c r="U167" s="9">
        <v>222.417472417944</v>
      </c>
      <c r="V167" s="9">
        <v>313.24109031027001</v>
      </c>
      <c r="X167" s="13" t="s">
        <v>123</v>
      </c>
      <c r="Y167" t="s">
        <v>102</v>
      </c>
      <c r="Z167" s="14">
        <f t="shared" si="28"/>
        <v>233.75</v>
      </c>
      <c r="AA167" s="14">
        <v>237</v>
      </c>
      <c r="AB167" s="14">
        <v>230.5</v>
      </c>
      <c r="AC167" s="52">
        <v>789.13043478260852</v>
      </c>
      <c r="AD167" s="52">
        <v>526.08695652173901</v>
      </c>
      <c r="AE167" s="52">
        <v>1052.173913043478</v>
      </c>
      <c r="AF167" s="61" t="s">
        <v>118</v>
      </c>
      <c r="AG167" s="61" t="s">
        <v>42</v>
      </c>
      <c r="AQ167" s="79"/>
    </row>
    <row r="168" spans="1:43">
      <c r="A168" s="16" t="s">
        <v>97</v>
      </c>
      <c r="B168" s="60" t="s">
        <v>267</v>
      </c>
      <c r="C168" s="18">
        <f t="shared" si="31"/>
        <v>212.25</v>
      </c>
      <c r="D168" s="30">
        <v>215</v>
      </c>
      <c r="E168" s="30">
        <v>209.5</v>
      </c>
      <c r="F168" s="31">
        <f t="shared" si="25"/>
        <v>643.33333333333337</v>
      </c>
      <c r="G168" s="31">
        <f t="shared" si="26"/>
        <v>310</v>
      </c>
      <c r="H168" s="31">
        <f t="shared" si="27"/>
        <v>976.66666666666663</v>
      </c>
      <c r="I168" s="49">
        <v>965</v>
      </c>
      <c r="J168" s="49">
        <f>I168-500</f>
        <v>465</v>
      </c>
      <c r="K168" s="49">
        <f t="shared" si="32"/>
        <v>1465</v>
      </c>
      <c r="L168" s="49">
        <v>3000</v>
      </c>
      <c r="M168" s="31">
        <v>2000</v>
      </c>
      <c r="N168" s="15" t="s">
        <v>55</v>
      </c>
      <c r="O168" s="61" t="s">
        <v>42</v>
      </c>
      <c r="P168" s="13" t="s">
        <v>459</v>
      </c>
      <c r="Q168" s="29">
        <v>3.2201222222222201</v>
      </c>
      <c r="T168" s="9">
        <v>265.04959769396561</v>
      </c>
      <c r="U168" s="9">
        <v>226.87461162937001</v>
      </c>
      <c r="V168" s="9">
        <v>304.44824700818901</v>
      </c>
      <c r="X168" s="13" t="s">
        <v>123</v>
      </c>
      <c r="Y168" t="s">
        <v>102</v>
      </c>
      <c r="Z168" s="14">
        <f t="shared" si="28"/>
        <v>233.75</v>
      </c>
      <c r="AA168" s="14">
        <v>237</v>
      </c>
      <c r="AB168" s="14">
        <v>230.5</v>
      </c>
      <c r="AC168" s="52">
        <v>825</v>
      </c>
      <c r="AD168" s="52">
        <v>550</v>
      </c>
      <c r="AE168" s="52">
        <v>1100</v>
      </c>
      <c r="AF168" s="61" t="s">
        <v>118</v>
      </c>
      <c r="AG168" s="61" t="s">
        <v>42</v>
      </c>
      <c r="AQ168" s="79"/>
    </row>
    <row r="169" spans="1:43">
      <c r="A169" s="16" t="s">
        <v>97</v>
      </c>
      <c r="B169" s="60" t="s">
        <v>267</v>
      </c>
      <c r="C169" s="18">
        <f t="shared" si="31"/>
        <v>212.25</v>
      </c>
      <c r="D169" s="30">
        <v>215</v>
      </c>
      <c r="E169" s="30">
        <v>209.5</v>
      </c>
      <c r="F169" s="31">
        <f t="shared" si="25"/>
        <v>12.5</v>
      </c>
      <c r="G169" s="31">
        <f t="shared" si="26"/>
        <v>0</v>
      </c>
      <c r="H169" s="31">
        <f t="shared" si="27"/>
        <v>262.5</v>
      </c>
      <c r="I169" s="49">
        <v>25</v>
      </c>
      <c r="J169" s="49">
        <v>0</v>
      </c>
      <c r="K169" s="49">
        <f t="shared" si="32"/>
        <v>525</v>
      </c>
      <c r="L169" s="49">
        <v>4000</v>
      </c>
      <c r="M169" s="31">
        <v>2000</v>
      </c>
      <c r="N169" s="15" t="s">
        <v>98</v>
      </c>
      <c r="O169" s="61" t="s">
        <v>42</v>
      </c>
      <c r="P169" s="13" t="s">
        <v>459</v>
      </c>
      <c r="Q169" s="29">
        <v>3.2433299999999901</v>
      </c>
      <c r="T169" s="9">
        <v>273.16455646578316</v>
      </c>
      <c r="U169" s="9">
        <v>232.95251120513501</v>
      </c>
      <c r="V169" s="9">
        <v>313.74356047626202</v>
      </c>
      <c r="X169" s="13" t="s">
        <v>125</v>
      </c>
      <c r="Y169" s="79" t="s">
        <v>290</v>
      </c>
      <c r="Z169" s="14">
        <f t="shared" si="28"/>
        <v>168.8</v>
      </c>
      <c r="AA169" s="14">
        <v>174.1</v>
      </c>
      <c r="AB169" s="14">
        <v>163.5</v>
      </c>
      <c r="AC169" s="52">
        <f>AVERAGE(AD169:AE169)</f>
        <v>1422</v>
      </c>
      <c r="AD169" s="52">
        <f>AE169/2</f>
        <v>948</v>
      </c>
      <c r="AE169" s="52">
        <v>1896</v>
      </c>
      <c r="AF169" s="61" t="s">
        <v>118</v>
      </c>
      <c r="AG169" s="61" t="s">
        <v>42</v>
      </c>
      <c r="AQ169" s="79"/>
    </row>
    <row r="170" spans="1:43">
      <c r="A170" s="16" t="s">
        <v>97</v>
      </c>
      <c r="B170" s="60" t="s">
        <v>267</v>
      </c>
      <c r="C170" s="18">
        <f t="shared" si="31"/>
        <v>212.25</v>
      </c>
      <c r="D170" s="30">
        <v>215</v>
      </c>
      <c r="E170" s="30">
        <v>209.5</v>
      </c>
      <c r="F170" s="31">
        <f t="shared" si="25"/>
        <v>45</v>
      </c>
      <c r="G170" s="31">
        <f t="shared" si="26"/>
        <v>0</v>
      </c>
      <c r="H170" s="31">
        <f t="shared" si="27"/>
        <v>295</v>
      </c>
      <c r="I170" s="49">
        <v>90</v>
      </c>
      <c r="J170" s="49">
        <v>0</v>
      </c>
      <c r="K170" s="49">
        <f t="shared" si="32"/>
        <v>590</v>
      </c>
      <c r="L170" s="49">
        <v>4000</v>
      </c>
      <c r="M170" s="31">
        <v>2000</v>
      </c>
      <c r="N170" s="15" t="s">
        <v>98</v>
      </c>
      <c r="O170" s="61" t="s">
        <v>42</v>
      </c>
      <c r="P170" s="13" t="s">
        <v>459</v>
      </c>
      <c r="Q170" s="29">
        <v>3.2597499999999999</v>
      </c>
      <c r="T170" s="9">
        <v>270.02612095324889</v>
      </c>
      <c r="U170" s="9">
        <v>231.12404136173299</v>
      </c>
      <c r="V170" s="9">
        <v>309.80772777322301</v>
      </c>
      <c r="X170" s="13" t="s">
        <v>125</v>
      </c>
      <c r="Y170" s="79" t="s">
        <v>290</v>
      </c>
      <c r="Z170" s="14">
        <f t="shared" si="28"/>
        <v>168.8</v>
      </c>
      <c r="AA170" s="14">
        <v>174.1</v>
      </c>
      <c r="AB170" s="14">
        <v>163.5</v>
      </c>
      <c r="AC170" s="52">
        <f>AVERAGE(AD170:AE170)</f>
        <v>1372.5</v>
      </c>
      <c r="AD170" s="52">
        <f>AE170/2</f>
        <v>915</v>
      </c>
      <c r="AE170" s="52">
        <v>1830</v>
      </c>
      <c r="AF170" s="61" t="s">
        <v>118</v>
      </c>
      <c r="AG170" s="61" t="s">
        <v>42</v>
      </c>
      <c r="AQ170" s="79"/>
    </row>
    <row r="171" spans="1:43">
      <c r="A171" s="16" t="s">
        <v>97</v>
      </c>
      <c r="B171" s="60" t="s">
        <v>267</v>
      </c>
      <c r="C171" s="18">
        <f t="shared" si="31"/>
        <v>212.25</v>
      </c>
      <c r="D171" s="30">
        <v>215</v>
      </c>
      <c r="E171" s="30">
        <v>209.5</v>
      </c>
      <c r="F171" s="31">
        <f t="shared" si="25"/>
        <v>371.5</v>
      </c>
      <c r="G171" s="31">
        <f t="shared" si="26"/>
        <v>121.5</v>
      </c>
      <c r="H171" s="31">
        <f t="shared" si="27"/>
        <v>621.5</v>
      </c>
      <c r="I171" s="49">
        <v>743</v>
      </c>
      <c r="J171" s="49">
        <f t="shared" ref="J171:J208" si="33">I171-500</f>
        <v>243</v>
      </c>
      <c r="K171" s="49">
        <f t="shared" si="32"/>
        <v>1243</v>
      </c>
      <c r="L171" s="49">
        <v>4000</v>
      </c>
      <c r="M171" s="31">
        <v>2000</v>
      </c>
      <c r="N171" s="15" t="s">
        <v>98</v>
      </c>
      <c r="O171" s="61" t="s">
        <v>42</v>
      </c>
      <c r="P171" s="13" t="s">
        <v>459</v>
      </c>
      <c r="Q171" s="29">
        <v>3.2671000000000001</v>
      </c>
      <c r="T171" s="9">
        <v>261.76146444120855</v>
      </c>
      <c r="U171" s="9">
        <v>225.46545824304999</v>
      </c>
      <c r="V171" s="9">
        <v>298.74767792595901</v>
      </c>
      <c r="X171" s="13" t="s">
        <v>125</v>
      </c>
      <c r="Y171" s="79" t="s">
        <v>290</v>
      </c>
      <c r="Z171" s="14">
        <f t="shared" si="28"/>
        <v>168.8</v>
      </c>
      <c r="AA171" s="14">
        <v>174.1</v>
      </c>
      <c r="AB171" s="14">
        <v>163.5</v>
      </c>
      <c r="AC171" s="52">
        <f>AVERAGE(AD171:AE171)</f>
        <v>1296</v>
      </c>
      <c r="AD171" s="52">
        <f>AE171/2</f>
        <v>864</v>
      </c>
      <c r="AE171" s="52">
        <v>1728</v>
      </c>
      <c r="AF171" s="61" t="s">
        <v>118</v>
      </c>
      <c r="AG171" s="61" t="s">
        <v>42</v>
      </c>
      <c r="AQ171" s="79"/>
    </row>
    <row r="172" spans="1:43">
      <c r="A172" s="16" t="s">
        <v>97</v>
      </c>
      <c r="B172" s="60" t="s">
        <v>267</v>
      </c>
      <c r="C172" s="18">
        <f t="shared" si="31"/>
        <v>212.25</v>
      </c>
      <c r="D172" s="30">
        <v>215</v>
      </c>
      <c r="E172" s="30">
        <v>209.5</v>
      </c>
      <c r="F172" s="31">
        <f t="shared" si="25"/>
        <v>1666.6666666666667</v>
      </c>
      <c r="G172" s="31">
        <f t="shared" si="26"/>
        <v>1333.3333333333333</v>
      </c>
      <c r="H172" s="31">
        <f t="shared" si="27"/>
        <v>2000</v>
      </c>
      <c r="I172" s="49">
        <v>2500</v>
      </c>
      <c r="J172" s="49">
        <f t="shared" si="33"/>
        <v>2000</v>
      </c>
      <c r="K172" s="49">
        <f t="shared" si="32"/>
        <v>3000</v>
      </c>
      <c r="L172" s="49">
        <v>3000</v>
      </c>
      <c r="M172" s="31">
        <v>2000</v>
      </c>
      <c r="N172" s="15" t="s">
        <v>55</v>
      </c>
      <c r="O172" s="61" t="s">
        <v>42</v>
      </c>
      <c r="P172" s="13" t="s">
        <v>459</v>
      </c>
      <c r="Q172" s="29">
        <v>3.27525555555555</v>
      </c>
      <c r="T172" s="9">
        <v>257.78370416018009</v>
      </c>
      <c r="U172" s="9">
        <v>224.34196294161899</v>
      </c>
      <c r="V172" s="9">
        <v>291.49055639744603</v>
      </c>
      <c r="X172" s="13" t="s">
        <v>125</v>
      </c>
      <c r="Y172" s="79" t="s">
        <v>290</v>
      </c>
      <c r="Z172" s="14">
        <f t="shared" si="28"/>
        <v>168.8</v>
      </c>
      <c r="AA172" s="14">
        <v>174.1</v>
      </c>
      <c r="AB172" s="14">
        <v>163.5</v>
      </c>
      <c r="AC172" s="52">
        <f>AVERAGE(AD172:AE172)</f>
        <v>1188</v>
      </c>
      <c r="AD172" s="52">
        <f>AE172/2</f>
        <v>792</v>
      </c>
      <c r="AE172" s="52">
        <v>1584</v>
      </c>
      <c r="AF172" s="61" t="s">
        <v>118</v>
      </c>
      <c r="AG172" s="61" t="s">
        <v>42</v>
      </c>
      <c r="AQ172" s="79"/>
    </row>
    <row r="173" spans="1:43">
      <c r="A173" s="16" t="s">
        <v>97</v>
      </c>
      <c r="B173" s="60" t="s">
        <v>267</v>
      </c>
      <c r="C173" s="18">
        <f t="shared" si="31"/>
        <v>212.25</v>
      </c>
      <c r="D173" s="30">
        <v>215</v>
      </c>
      <c r="E173" s="30">
        <v>209.5</v>
      </c>
      <c r="F173" s="31">
        <f t="shared" si="25"/>
        <v>1702</v>
      </c>
      <c r="G173" s="31">
        <f t="shared" si="26"/>
        <v>1368.6666666666667</v>
      </c>
      <c r="H173" s="31">
        <f t="shared" si="27"/>
        <v>2035.3333333333333</v>
      </c>
      <c r="I173" s="49">
        <v>2553</v>
      </c>
      <c r="J173" s="49">
        <f t="shared" si="33"/>
        <v>2053</v>
      </c>
      <c r="K173" s="49">
        <f t="shared" si="32"/>
        <v>3053</v>
      </c>
      <c r="L173" s="49">
        <v>3000</v>
      </c>
      <c r="M173" s="31">
        <v>2000</v>
      </c>
      <c r="N173" s="15" t="s">
        <v>55</v>
      </c>
      <c r="O173" s="61" t="s">
        <v>42</v>
      </c>
      <c r="P173" s="13" t="s">
        <v>459</v>
      </c>
      <c r="Q173" s="29">
        <v>3.2867500000000001</v>
      </c>
      <c r="T173" s="9">
        <v>275.82295096396871</v>
      </c>
      <c r="U173" s="9">
        <v>237.821378039504</v>
      </c>
      <c r="V173" s="9">
        <v>314.517491504183</v>
      </c>
      <c r="X173" s="13" t="s">
        <v>125</v>
      </c>
      <c r="Y173" s="79" t="s">
        <v>290</v>
      </c>
      <c r="Z173" s="14">
        <f t="shared" si="28"/>
        <v>168.8</v>
      </c>
      <c r="AA173" s="14">
        <v>174.1</v>
      </c>
      <c r="AB173" s="14">
        <v>163.5</v>
      </c>
      <c r="AC173" s="52">
        <f>AVERAGE(AD173:AE173)</f>
        <v>1134</v>
      </c>
      <c r="AD173" s="52">
        <f>AE173/2</f>
        <v>756</v>
      </c>
      <c r="AE173" s="52">
        <v>1512</v>
      </c>
      <c r="AF173" s="61" t="s">
        <v>118</v>
      </c>
      <c r="AG173" s="61" t="s">
        <v>42</v>
      </c>
      <c r="AQ173" s="79"/>
    </row>
    <row r="174" spans="1:43">
      <c r="A174" s="16" t="s">
        <v>97</v>
      </c>
      <c r="B174" s="60" t="s">
        <v>267</v>
      </c>
      <c r="C174" s="18">
        <f t="shared" si="31"/>
        <v>212.25</v>
      </c>
      <c r="D174" s="30">
        <v>215</v>
      </c>
      <c r="E174" s="30">
        <v>209.5</v>
      </c>
      <c r="F174" s="31">
        <f t="shared" si="25"/>
        <v>1596</v>
      </c>
      <c r="G174" s="31">
        <f t="shared" si="26"/>
        <v>1262.6666666666667</v>
      </c>
      <c r="H174" s="31">
        <f t="shared" si="27"/>
        <v>1929.3333333333333</v>
      </c>
      <c r="I174" s="49">
        <v>2394</v>
      </c>
      <c r="J174" s="49">
        <f t="shared" si="33"/>
        <v>1894</v>
      </c>
      <c r="K174" s="49">
        <f t="shared" si="32"/>
        <v>2894</v>
      </c>
      <c r="L174" s="49">
        <v>3000</v>
      </c>
      <c r="M174" s="31">
        <v>2000</v>
      </c>
      <c r="N174" s="15" t="s">
        <v>55</v>
      </c>
      <c r="O174" s="61" t="s">
        <v>42</v>
      </c>
      <c r="P174" s="13"/>
      <c r="Q174" s="29"/>
      <c r="X174" s="13" t="s">
        <v>129</v>
      </c>
      <c r="Y174" s="79" t="s">
        <v>352</v>
      </c>
      <c r="Z174" s="14">
        <v>94.52</v>
      </c>
      <c r="AA174" s="14"/>
      <c r="AB174" s="14"/>
      <c r="AC174" s="9">
        <f>AVERAGE(312.3,418.8)</f>
        <v>365.55</v>
      </c>
      <c r="AD174" s="9">
        <v>289.89999999999998</v>
      </c>
      <c r="AE174" s="9">
        <v>472</v>
      </c>
      <c r="AF174" s="61" t="s">
        <v>380</v>
      </c>
      <c r="AG174" s="61" t="s">
        <v>42</v>
      </c>
      <c r="AQ174" s="79"/>
    </row>
    <row r="175" spans="1:43">
      <c r="A175" s="16" t="s">
        <v>97</v>
      </c>
      <c r="B175" s="60" t="s">
        <v>267</v>
      </c>
      <c r="C175" s="18">
        <f t="shared" si="31"/>
        <v>212.25</v>
      </c>
      <c r="D175" s="30">
        <v>215</v>
      </c>
      <c r="E175" s="30">
        <v>209.5</v>
      </c>
      <c r="F175" s="31">
        <f t="shared" si="25"/>
        <v>344</v>
      </c>
      <c r="G175" s="31">
        <f t="shared" si="26"/>
        <v>94</v>
      </c>
      <c r="H175" s="31">
        <f t="shared" si="27"/>
        <v>594</v>
      </c>
      <c r="I175" s="49">
        <v>688</v>
      </c>
      <c r="J175" s="49">
        <f t="shared" si="33"/>
        <v>188</v>
      </c>
      <c r="K175" s="49">
        <f t="shared" si="32"/>
        <v>1188</v>
      </c>
      <c r="L175" s="49">
        <v>4000</v>
      </c>
      <c r="M175" s="31">
        <v>2000</v>
      </c>
      <c r="N175" s="15" t="s">
        <v>98</v>
      </c>
      <c r="O175" s="61" t="s">
        <v>42</v>
      </c>
      <c r="X175" s="13" t="s">
        <v>129</v>
      </c>
      <c r="Y175" s="79" t="s">
        <v>352</v>
      </c>
      <c r="Z175" s="14">
        <v>94.37</v>
      </c>
      <c r="AA175" s="14"/>
      <c r="AB175" s="14"/>
      <c r="AC175" s="9">
        <f>AVERAGE(332.8,429)</f>
        <v>380.9</v>
      </c>
      <c r="AD175" s="9">
        <v>316.39999999999998</v>
      </c>
      <c r="AE175" s="9">
        <v>484.3</v>
      </c>
      <c r="AF175" s="61" t="s">
        <v>380</v>
      </c>
      <c r="AG175" s="61" t="s">
        <v>42</v>
      </c>
      <c r="AQ175" s="79"/>
    </row>
    <row r="176" spans="1:43">
      <c r="A176" s="16" t="s">
        <v>97</v>
      </c>
      <c r="B176" s="60" t="s">
        <v>267</v>
      </c>
      <c r="C176" s="18">
        <f t="shared" si="31"/>
        <v>212.25</v>
      </c>
      <c r="D176" s="30">
        <v>215</v>
      </c>
      <c r="E176" s="30">
        <v>209.5</v>
      </c>
      <c r="F176" s="31">
        <f t="shared" si="25"/>
        <v>268.5</v>
      </c>
      <c r="G176" s="31">
        <f t="shared" si="26"/>
        <v>18.5</v>
      </c>
      <c r="H176" s="31">
        <f t="shared" si="27"/>
        <v>518.5</v>
      </c>
      <c r="I176" s="49">
        <v>537</v>
      </c>
      <c r="J176" s="49">
        <f t="shared" si="33"/>
        <v>37</v>
      </c>
      <c r="K176" s="49">
        <f t="shared" si="32"/>
        <v>1037</v>
      </c>
      <c r="L176" s="49">
        <v>4000</v>
      </c>
      <c r="M176" s="31">
        <v>2000</v>
      </c>
      <c r="N176" s="15" t="s">
        <v>98</v>
      </c>
      <c r="O176" s="61" t="s">
        <v>42</v>
      </c>
      <c r="X176" s="13" t="s">
        <v>129</v>
      </c>
      <c r="Y176" s="79" t="s">
        <v>352</v>
      </c>
      <c r="Z176" s="14">
        <v>94.31</v>
      </c>
      <c r="AA176" s="14"/>
      <c r="AB176" s="14"/>
      <c r="AC176" s="9">
        <f>AVERAGE(336.9,431.1)</f>
        <v>384</v>
      </c>
      <c r="AD176" s="9">
        <v>322.5</v>
      </c>
      <c r="AE176" s="9">
        <v>490.4</v>
      </c>
      <c r="AF176" s="61" t="s">
        <v>380</v>
      </c>
      <c r="AG176" s="61" t="s">
        <v>42</v>
      </c>
      <c r="AQ176" s="79"/>
    </row>
    <row r="177" spans="1:43">
      <c r="A177" s="16" t="s">
        <v>97</v>
      </c>
      <c r="B177" s="60" t="s">
        <v>267</v>
      </c>
      <c r="C177" s="18">
        <f t="shared" si="31"/>
        <v>212.25</v>
      </c>
      <c r="D177" s="30">
        <v>215</v>
      </c>
      <c r="E177" s="30">
        <v>209.5</v>
      </c>
      <c r="F177" s="31">
        <f t="shared" si="25"/>
        <v>377</v>
      </c>
      <c r="G177" s="31">
        <f t="shared" si="26"/>
        <v>127</v>
      </c>
      <c r="H177" s="31">
        <f t="shared" si="27"/>
        <v>627</v>
      </c>
      <c r="I177" s="49">
        <v>754</v>
      </c>
      <c r="J177" s="49">
        <f t="shared" si="33"/>
        <v>254</v>
      </c>
      <c r="K177" s="49">
        <f t="shared" si="32"/>
        <v>1254</v>
      </c>
      <c r="L177" s="49">
        <v>4000</v>
      </c>
      <c r="M177" s="31">
        <v>2000</v>
      </c>
      <c r="N177" s="15" t="s">
        <v>98</v>
      </c>
      <c r="O177" s="61" t="s">
        <v>42</v>
      </c>
      <c r="X177" s="13" t="s">
        <v>129</v>
      </c>
      <c r="Y177" s="79" t="s">
        <v>352</v>
      </c>
      <c r="Z177" s="14">
        <v>94.28</v>
      </c>
      <c r="AA177" s="14"/>
      <c r="AB177" s="14"/>
      <c r="AC177" s="9">
        <f>AVERAGE(369.6,449.5)</f>
        <v>409.55</v>
      </c>
      <c r="AD177" s="9">
        <v>345.1</v>
      </c>
      <c r="AE177" s="9">
        <v>508.9</v>
      </c>
      <c r="AF177" s="61" t="s">
        <v>380</v>
      </c>
      <c r="AG177" s="61" t="s">
        <v>42</v>
      </c>
      <c r="AQ177" s="79"/>
    </row>
    <row r="178" spans="1:43">
      <c r="A178" s="16" t="s">
        <v>97</v>
      </c>
      <c r="B178" s="60" t="s">
        <v>267</v>
      </c>
      <c r="C178" s="18">
        <f t="shared" si="31"/>
        <v>212.25</v>
      </c>
      <c r="D178" s="30">
        <v>215</v>
      </c>
      <c r="E178" s="30">
        <v>209.5</v>
      </c>
      <c r="F178" s="31">
        <f t="shared" si="25"/>
        <v>1442.6666666666667</v>
      </c>
      <c r="G178" s="31">
        <f t="shared" si="26"/>
        <v>1109.3333333333333</v>
      </c>
      <c r="H178" s="31">
        <f t="shared" si="27"/>
        <v>1776</v>
      </c>
      <c r="I178" s="49">
        <v>2164</v>
      </c>
      <c r="J178" s="49">
        <f t="shared" si="33"/>
        <v>1664</v>
      </c>
      <c r="K178" s="49">
        <f t="shared" si="32"/>
        <v>2664</v>
      </c>
      <c r="L178" s="49">
        <v>3000</v>
      </c>
      <c r="M178" s="31">
        <v>2000</v>
      </c>
      <c r="N178" s="15" t="s">
        <v>55</v>
      </c>
      <c r="O178" s="61" t="s">
        <v>42</v>
      </c>
      <c r="X178" s="13" t="s">
        <v>129</v>
      </c>
      <c r="Y178" s="79" t="s">
        <v>352</v>
      </c>
      <c r="Z178" s="14">
        <v>94.21</v>
      </c>
      <c r="AA178" s="14"/>
      <c r="AB178" s="14"/>
      <c r="AC178" s="9">
        <f>AVERAGE(412.6,476.1)</f>
        <v>444.35</v>
      </c>
      <c r="AD178" s="9">
        <v>353.2</v>
      </c>
      <c r="AE178" s="9">
        <v>572.4</v>
      </c>
      <c r="AF178" s="61" t="s">
        <v>380</v>
      </c>
      <c r="AG178" s="61" t="s">
        <v>42</v>
      </c>
      <c r="AQ178" s="79"/>
    </row>
    <row r="179" spans="1:43">
      <c r="A179" s="16" t="s">
        <v>97</v>
      </c>
      <c r="B179" s="60" t="s">
        <v>267</v>
      </c>
      <c r="C179" s="18">
        <f t="shared" si="31"/>
        <v>212.25</v>
      </c>
      <c r="D179" s="30">
        <v>215</v>
      </c>
      <c r="E179" s="30">
        <v>209.5</v>
      </c>
      <c r="F179" s="31">
        <f t="shared" si="25"/>
        <v>1191.3333333333333</v>
      </c>
      <c r="G179" s="31">
        <f t="shared" si="26"/>
        <v>858</v>
      </c>
      <c r="H179" s="31">
        <f t="shared" si="27"/>
        <v>1524.6666666666667</v>
      </c>
      <c r="I179" s="49">
        <v>1787</v>
      </c>
      <c r="J179" s="49">
        <f t="shared" si="33"/>
        <v>1287</v>
      </c>
      <c r="K179" s="49">
        <f t="shared" si="32"/>
        <v>2287</v>
      </c>
      <c r="L179" s="49">
        <v>3000</v>
      </c>
      <c r="M179" s="31">
        <v>2000</v>
      </c>
      <c r="N179" s="15" t="s">
        <v>55</v>
      </c>
      <c r="O179" s="61" t="s">
        <v>42</v>
      </c>
      <c r="X179" s="13" t="s">
        <v>129</v>
      </c>
      <c r="Y179" s="79" t="s">
        <v>352</v>
      </c>
      <c r="Z179" s="14">
        <v>94.14</v>
      </c>
      <c r="AA179" s="14"/>
      <c r="AB179" s="14"/>
      <c r="AC179" s="9">
        <f>AVERAGE(429,484.3)</f>
        <v>456.65</v>
      </c>
      <c r="AD179" s="9">
        <v>357.3</v>
      </c>
      <c r="AE179" s="9">
        <v>637.9</v>
      </c>
      <c r="AF179" s="61" t="s">
        <v>380</v>
      </c>
      <c r="AG179" s="61" t="s">
        <v>42</v>
      </c>
      <c r="AQ179" s="79"/>
    </row>
    <row r="180" spans="1:43">
      <c r="A180" s="16" t="s">
        <v>97</v>
      </c>
      <c r="B180" s="60" t="s">
        <v>267</v>
      </c>
      <c r="C180" s="18">
        <f t="shared" si="31"/>
        <v>212.25</v>
      </c>
      <c r="D180" s="30">
        <v>215</v>
      </c>
      <c r="E180" s="30">
        <v>209.5</v>
      </c>
      <c r="F180" s="31">
        <f t="shared" si="25"/>
        <v>1348.6666666666667</v>
      </c>
      <c r="G180" s="31">
        <f t="shared" si="26"/>
        <v>1015.3333333333334</v>
      </c>
      <c r="H180" s="31">
        <f t="shared" si="27"/>
        <v>1682</v>
      </c>
      <c r="I180" s="49">
        <v>2023</v>
      </c>
      <c r="J180" s="49">
        <f t="shared" si="33"/>
        <v>1523</v>
      </c>
      <c r="K180" s="49">
        <f t="shared" si="32"/>
        <v>2523</v>
      </c>
      <c r="L180" s="49">
        <v>3000</v>
      </c>
      <c r="M180" s="31">
        <v>2000</v>
      </c>
      <c r="N180" s="15" t="s">
        <v>55</v>
      </c>
      <c r="O180" s="61" t="s">
        <v>42</v>
      </c>
      <c r="X180" s="13" t="s">
        <v>129</v>
      </c>
      <c r="Y180" s="79" t="s">
        <v>352</v>
      </c>
      <c r="Z180" s="14">
        <v>94.1</v>
      </c>
      <c r="AA180" s="14"/>
      <c r="AB180" s="14"/>
      <c r="AC180" s="9">
        <f>AVERAGE(304.1,416.7)</f>
        <v>360.4</v>
      </c>
      <c r="AD180" s="9">
        <v>304.10000000000002</v>
      </c>
      <c r="AE180" s="9">
        <v>480.2</v>
      </c>
      <c r="AF180" s="61" t="s">
        <v>380</v>
      </c>
      <c r="AG180" s="61" t="s">
        <v>42</v>
      </c>
      <c r="AQ180" s="79"/>
    </row>
    <row r="181" spans="1:43">
      <c r="A181" s="16" t="s">
        <v>97</v>
      </c>
      <c r="B181" s="60" t="s">
        <v>267</v>
      </c>
      <c r="C181" s="18">
        <f t="shared" si="31"/>
        <v>212.25</v>
      </c>
      <c r="D181" s="30">
        <v>215</v>
      </c>
      <c r="E181" s="30">
        <v>209.5</v>
      </c>
      <c r="F181" s="31">
        <f t="shared" si="25"/>
        <v>1678</v>
      </c>
      <c r="G181" s="31">
        <f t="shared" si="26"/>
        <v>1344.6666666666667</v>
      </c>
      <c r="H181" s="31">
        <f t="shared" si="27"/>
        <v>2011.3333333333333</v>
      </c>
      <c r="I181" s="49">
        <v>2517</v>
      </c>
      <c r="J181" s="49">
        <f t="shared" si="33"/>
        <v>2017</v>
      </c>
      <c r="K181" s="49">
        <f t="shared" si="32"/>
        <v>3017</v>
      </c>
      <c r="L181" s="49">
        <v>3000</v>
      </c>
      <c r="M181" s="31">
        <v>2000</v>
      </c>
      <c r="N181" s="15" t="s">
        <v>55</v>
      </c>
      <c r="O181" s="61" t="s">
        <v>42</v>
      </c>
      <c r="X181" s="13" t="s">
        <v>129</v>
      </c>
      <c r="Y181" s="79" t="s">
        <v>352</v>
      </c>
      <c r="Z181" s="14">
        <v>94.09</v>
      </c>
      <c r="AA181" s="14"/>
      <c r="AB181" s="14"/>
      <c r="AC181" s="9">
        <f>AVERAGE(414.7,478.2)</f>
        <v>446.45</v>
      </c>
      <c r="AD181" s="9">
        <v>349.9</v>
      </c>
      <c r="AE181" s="9">
        <v>543.70000000000005</v>
      </c>
      <c r="AF181" s="61" t="s">
        <v>380</v>
      </c>
      <c r="AG181" s="61" t="s">
        <v>42</v>
      </c>
      <c r="AQ181" s="79"/>
    </row>
    <row r="182" spans="1:43">
      <c r="A182" s="16" t="s">
        <v>97</v>
      </c>
      <c r="B182" s="60" t="s">
        <v>267</v>
      </c>
      <c r="C182" s="18">
        <f t="shared" si="31"/>
        <v>212.25</v>
      </c>
      <c r="D182" s="30">
        <v>215</v>
      </c>
      <c r="E182" s="30">
        <v>209.5</v>
      </c>
      <c r="F182" s="31">
        <f t="shared" si="25"/>
        <v>1295.3333333333333</v>
      </c>
      <c r="G182" s="31">
        <f t="shared" si="26"/>
        <v>962</v>
      </c>
      <c r="H182" s="31">
        <f t="shared" si="27"/>
        <v>1628.6666666666667</v>
      </c>
      <c r="I182" s="49">
        <v>1943</v>
      </c>
      <c r="J182" s="49">
        <f t="shared" si="33"/>
        <v>1443</v>
      </c>
      <c r="K182" s="49">
        <f t="shared" si="32"/>
        <v>2443</v>
      </c>
      <c r="L182" s="49">
        <v>3000</v>
      </c>
      <c r="M182" s="31">
        <v>2000</v>
      </c>
      <c r="N182" s="15" t="s">
        <v>55</v>
      </c>
      <c r="O182" s="61" t="s">
        <v>42</v>
      </c>
      <c r="X182" s="13" t="s">
        <v>129</v>
      </c>
      <c r="Y182" s="79" t="s">
        <v>352</v>
      </c>
      <c r="Z182" s="14">
        <v>94.09</v>
      </c>
      <c r="AA182" s="14"/>
      <c r="AB182" s="14"/>
      <c r="AC182" s="9">
        <f>AVERAGE(351.2,441.3)</f>
        <v>396.25</v>
      </c>
      <c r="AD182" s="9">
        <v>351.2</v>
      </c>
      <c r="AE182" s="9">
        <v>500.7</v>
      </c>
      <c r="AF182" s="61" t="s">
        <v>380</v>
      </c>
      <c r="AG182" s="61" t="s">
        <v>42</v>
      </c>
      <c r="AQ182" s="79"/>
    </row>
    <row r="183" spans="1:43">
      <c r="A183" s="16" t="s">
        <v>97</v>
      </c>
      <c r="B183" s="60" t="s">
        <v>267</v>
      </c>
      <c r="C183" s="18">
        <f t="shared" si="31"/>
        <v>212.25</v>
      </c>
      <c r="D183" s="30">
        <v>215</v>
      </c>
      <c r="E183" s="30">
        <v>209.5</v>
      </c>
      <c r="F183" s="31">
        <f t="shared" si="25"/>
        <v>1516</v>
      </c>
      <c r="G183" s="31">
        <f t="shared" si="26"/>
        <v>1182.6666666666667</v>
      </c>
      <c r="H183" s="31">
        <f t="shared" si="27"/>
        <v>1849.3333333333333</v>
      </c>
      <c r="I183" s="49">
        <v>2274</v>
      </c>
      <c r="J183" s="49">
        <f t="shared" si="33"/>
        <v>1774</v>
      </c>
      <c r="K183" s="49">
        <f t="shared" si="32"/>
        <v>2774</v>
      </c>
      <c r="L183" s="49">
        <v>3000</v>
      </c>
      <c r="M183" s="31">
        <v>2000</v>
      </c>
      <c r="N183" s="15" t="s">
        <v>55</v>
      </c>
      <c r="O183" s="61" t="s">
        <v>42</v>
      </c>
      <c r="X183" s="13" t="s">
        <v>129</v>
      </c>
      <c r="Y183" s="79" t="s">
        <v>352</v>
      </c>
      <c r="Z183" s="14">
        <v>94.09</v>
      </c>
      <c r="AA183" s="14"/>
      <c r="AB183" s="14"/>
      <c r="AC183" s="9">
        <f>AVERAGE(416.7,480.2)</f>
        <v>448.45</v>
      </c>
      <c r="AD183" s="9">
        <v>361.4</v>
      </c>
      <c r="AE183" s="9">
        <v>568.29999999999995</v>
      </c>
      <c r="AF183" s="61" t="s">
        <v>380</v>
      </c>
      <c r="AG183" s="61" t="s">
        <v>42</v>
      </c>
      <c r="AQ183" s="79"/>
    </row>
    <row r="184" spans="1:43">
      <c r="A184" s="16" t="s">
        <v>97</v>
      </c>
      <c r="B184" s="60" t="s">
        <v>267</v>
      </c>
      <c r="C184" s="18">
        <f t="shared" si="31"/>
        <v>212.25</v>
      </c>
      <c r="D184" s="30">
        <v>215</v>
      </c>
      <c r="E184" s="30">
        <v>209.5</v>
      </c>
      <c r="F184" s="31">
        <f t="shared" si="25"/>
        <v>559.5</v>
      </c>
      <c r="G184" s="31">
        <f t="shared" si="26"/>
        <v>309.5</v>
      </c>
      <c r="H184" s="31">
        <f t="shared" si="27"/>
        <v>809.5</v>
      </c>
      <c r="I184" s="49">
        <v>1119</v>
      </c>
      <c r="J184" s="49">
        <f t="shared" si="33"/>
        <v>619</v>
      </c>
      <c r="K184" s="49">
        <f t="shared" si="32"/>
        <v>1619</v>
      </c>
      <c r="L184" s="49">
        <v>4000</v>
      </c>
      <c r="M184" s="31">
        <v>2000</v>
      </c>
      <c r="N184" s="15" t="s">
        <v>98</v>
      </c>
      <c r="O184" s="61" t="s">
        <v>42</v>
      </c>
      <c r="X184" s="13" t="s">
        <v>129</v>
      </c>
      <c r="Y184" s="79" t="s">
        <v>352</v>
      </c>
      <c r="Z184" s="14">
        <v>94.066000000000003</v>
      </c>
      <c r="AA184" s="14"/>
      <c r="AB184" s="14"/>
      <c r="AC184" s="9">
        <f>AVERAGE(486.3,529.4)</f>
        <v>507.85</v>
      </c>
      <c r="AD184" s="9">
        <v>326.60000000000002</v>
      </c>
      <c r="AE184" s="9">
        <v>906.1</v>
      </c>
      <c r="AF184" s="61" t="s">
        <v>380</v>
      </c>
      <c r="AG184" s="61" t="s">
        <v>42</v>
      </c>
      <c r="AQ184" s="79"/>
    </row>
    <row r="185" spans="1:43">
      <c r="A185" s="16" t="s">
        <v>97</v>
      </c>
      <c r="B185" s="60" t="s">
        <v>267</v>
      </c>
      <c r="C185" s="18">
        <f t="shared" si="31"/>
        <v>212.25</v>
      </c>
      <c r="D185" s="30">
        <v>215</v>
      </c>
      <c r="E185" s="30">
        <v>209.5</v>
      </c>
      <c r="F185" s="31">
        <f t="shared" si="25"/>
        <v>1367.3333333333333</v>
      </c>
      <c r="G185" s="31">
        <f t="shared" si="26"/>
        <v>1034</v>
      </c>
      <c r="H185" s="31">
        <f t="shared" si="27"/>
        <v>1700.6666666666667</v>
      </c>
      <c r="I185" s="49">
        <v>2051</v>
      </c>
      <c r="J185" s="49">
        <f t="shared" si="33"/>
        <v>1551</v>
      </c>
      <c r="K185" s="49">
        <f t="shared" si="32"/>
        <v>2551</v>
      </c>
      <c r="L185" s="49">
        <v>3000</v>
      </c>
      <c r="M185" s="31">
        <v>2000</v>
      </c>
      <c r="N185" s="15" t="s">
        <v>55</v>
      </c>
      <c r="O185" s="61" t="s">
        <v>42</v>
      </c>
      <c r="X185" s="13" t="s">
        <v>129</v>
      </c>
      <c r="Y185" s="79" t="s">
        <v>352</v>
      </c>
      <c r="Z185" s="14">
        <v>94.046000000000006</v>
      </c>
      <c r="AA185" s="14"/>
      <c r="AB185" s="14"/>
      <c r="AC185" s="9">
        <f>AVERAGE(459.7,510.9)</f>
        <v>485.29999999999995</v>
      </c>
      <c r="AD185" s="9">
        <v>336.9</v>
      </c>
      <c r="AE185" s="9">
        <v>777.1</v>
      </c>
      <c r="AF185" s="61" t="s">
        <v>380</v>
      </c>
      <c r="AG185" s="61" t="s">
        <v>42</v>
      </c>
      <c r="AQ185" s="79"/>
    </row>
    <row r="186" spans="1:43">
      <c r="A186" s="16" t="s">
        <v>97</v>
      </c>
      <c r="B186" s="60" t="s">
        <v>266</v>
      </c>
      <c r="C186" s="18">
        <f t="shared" si="31"/>
        <v>205.4</v>
      </c>
      <c r="D186" s="30">
        <f t="shared" ref="D186:D208" si="34">209.5</f>
        <v>209.5</v>
      </c>
      <c r="E186" s="30">
        <f t="shared" ref="E186:E208" si="35">201.3</f>
        <v>201.3</v>
      </c>
      <c r="F186" s="31">
        <f t="shared" si="25"/>
        <v>1776.6666666666667</v>
      </c>
      <c r="G186" s="31">
        <f t="shared" si="26"/>
        <v>1443.3333333333333</v>
      </c>
      <c r="H186" s="31">
        <f t="shared" si="27"/>
        <v>2110</v>
      </c>
      <c r="I186" s="49">
        <v>2665</v>
      </c>
      <c r="J186" s="49">
        <f t="shared" si="33"/>
        <v>2165</v>
      </c>
      <c r="K186" s="49">
        <f t="shared" si="32"/>
        <v>3165</v>
      </c>
      <c r="L186" s="49">
        <v>3000</v>
      </c>
      <c r="M186" s="31">
        <v>2000</v>
      </c>
      <c r="N186" s="15" t="s">
        <v>55</v>
      </c>
      <c r="O186" s="61" t="s">
        <v>42</v>
      </c>
      <c r="X186" s="13" t="s">
        <v>129</v>
      </c>
      <c r="Y186" s="79" t="s">
        <v>352</v>
      </c>
      <c r="Z186" s="14">
        <v>94.033000000000001</v>
      </c>
      <c r="AA186" s="14"/>
      <c r="AB186" s="14"/>
      <c r="AC186" s="9">
        <f>AVERAGE(386,463.8)</f>
        <v>424.9</v>
      </c>
      <c r="AD186" s="9">
        <v>355.3</v>
      </c>
      <c r="AE186" s="9">
        <v>549.79999999999995</v>
      </c>
      <c r="AF186" s="61" t="s">
        <v>380</v>
      </c>
      <c r="AG186" s="61" t="s">
        <v>42</v>
      </c>
      <c r="AQ186" s="79"/>
    </row>
    <row r="187" spans="1:43">
      <c r="A187" s="16" t="s">
        <v>97</v>
      </c>
      <c r="B187" s="60" t="s">
        <v>266</v>
      </c>
      <c r="C187" s="18">
        <f t="shared" si="31"/>
        <v>205.4</v>
      </c>
      <c r="D187" s="30">
        <f t="shared" si="34"/>
        <v>209.5</v>
      </c>
      <c r="E187" s="30">
        <f t="shared" si="35"/>
        <v>201.3</v>
      </c>
      <c r="F187" s="31">
        <f t="shared" si="25"/>
        <v>1702</v>
      </c>
      <c r="G187" s="31">
        <f t="shared" si="26"/>
        <v>1368.6666666666667</v>
      </c>
      <c r="H187" s="31">
        <f t="shared" si="27"/>
        <v>2035.3333333333333</v>
      </c>
      <c r="I187" s="49">
        <v>2553</v>
      </c>
      <c r="J187" s="49">
        <f t="shared" si="33"/>
        <v>2053</v>
      </c>
      <c r="K187" s="49">
        <f t="shared" si="32"/>
        <v>3053</v>
      </c>
      <c r="L187" s="49">
        <v>3000</v>
      </c>
      <c r="M187" s="31">
        <v>2000</v>
      </c>
      <c r="N187" s="15" t="s">
        <v>55</v>
      </c>
      <c r="O187" s="61" t="s">
        <v>42</v>
      </c>
      <c r="X187" s="13" t="s">
        <v>129</v>
      </c>
      <c r="Y187" s="79" t="s">
        <v>352</v>
      </c>
      <c r="Z187" s="14">
        <v>94.012</v>
      </c>
      <c r="AA187" s="14"/>
      <c r="AB187" s="14"/>
      <c r="AC187" s="9">
        <f>AVERAGE(437.2,494.5)</f>
        <v>465.85</v>
      </c>
      <c r="AD187" s="9">
        <v>355.3</v>
      </c>
      <c r="AE187" s="9">
        <v>689.1</v>
      </c>
      <c r="AF187" s="61" t="s">
        <v>380</v>
      </c>
      <c r="AG187" s="61" t="s">
        <v>42</v>
      </c>
      <c r="AQ187" s="79"/>
    </row>
    <row r="188" spans="1:43">
      <c r="A188" s="16" t="s">
        <v>97</v>
      </c>
      <c r="B188" s="60" t="s">
        <v>266</v>
      </c>
      <c r="C188" s="18">
        <f t="shared" si="31"/>
        <v>205.4</v>
      </c>
      <c r="D188" s="30">
        <f t="shared" si="34"/>
        <v>209.5</v>
      </c>
      <c r="E188" s="30">
        <f t="shared" si="35"/>
        <v>201.3</v>
      </c>
      <c r="F188" s="31">
        <f t="shared" si="25"/>
        <v>1084.6666666666667</v>
      </c>
      <c r="G188" s="31">
        <f t="shared" si="26"/>
        <v>751.33333333333337</v>
      </c>
      <c r="H188" s="31">
        <f t="shared" si="27"/>
        <v>1418</v>
      </c>
      <c r="I188" s="49">
        <v>1627</v>
      </c>
      <c r="J188" s="49">
        <f t="shared" si="33"/>
        <v>1127</v>
      </c>
      <c r="K188" s="49">
        <f t="shared" si="32"/>
        <v>2127</v>
      </c>
      <c r="L188" s="49">
        <v>3000</v>
      </c>
      <c r="M188" s="31">
        <v>2000</v>
      </c>
      <c r="N188" s="15" t="s">
        <v>55</v>
      </c>
      <c r="O188" s="61" t="s">
        <v>42</v>
      </c>
      <c r="X188" s="13" t="s">
        <v>129</v>
      </c>
      <c r="Y188" s="79" t="s">
        <v>352</v>
      </c>
      <c r="Z188" s="14">
        <v>93.954999999999998</v>
      </c>
      <c r="AA188" s="14"/>
      <c r="AB188" s="14"/>
      <c r="AC188" s="9">
        <f>AVERAGE(316.4,422.9)</f>
        <v>369.65</v>
      </c>
      <c r="AD188" s="9">
        <v>316.39999999999998</v>
      </c>
      <c r="AE188" s="9">
        <v>478.2</v>
      </c>
      <c r="AF188" s="61" t="s">
        <v>380</v>
      </c>
      <c r="AG188" s="61" t="s">
        <v>42</v>
      </c>
      <c r="AQ188" s="79"/>
    </row>
    <row r="189" spans="1:43">
      <c r="A189" s="16" t="s">
        <v>97</v>
      </c>
      <c r="B189" s="60" t="s">
        <v>266</v>
      </c>
      <c r="C189" s="18">
        <f t="shared" si="31"/>
        <v>205.4</v>
      </c>
      <c r="D189" s="30">
        <f t="shared" si="34"/>
        <v>209.5</v>
      </c>
      <c r="E189" s="30">
        <f t="shared" si="35"/>
        <v>201.3</v>
      </c>
      <c r="F189" s="31">
        <f t="shared" si="25"/>
        <v>1191.3333333333333</v>
      </c>
      <c r="G189" s="31">
        <f t="shared" si="26"/>
        <v>858</v>
      </c>
      <c r="H189" s="31">
        <f t="shared" si="27"/>
        <v>1524.6666666666667</v>
      </c>
      <c r="I189" s="49">
        <v>1787</v>
      </c>
      <c r="J189" s="49">
        <f t="shared" si="33"/>
        <v>1287</v>
      </c>
      <c r="K189" s="49">
        <f t="shared" si="32"/>
        <v>2287</v>
      </c>
      <c r="L189" s="49">
        <v>3000</v>
      </c>
      <c r="M189" s="31">
        <v>2000</v>
      </c>
      <c r="N189" s="15" t="s">
        <v>55</v>
      </c>
      <c r="O189" s="61" t="s">
        <v>42</v>
      </c>
      <c r="X189" s="13" t="s">
        <v>129</v>
      </c>
      <c r="Y189" s="79" t="s">
        <v>352</v>
      </c>
      <c r="Z189" s="14">
        <v>93.936000000000007</v>
      </c>
      <c r="AA189" s="14"/>
      <c r="AB189" s="14"/>
      <c r="AC189" s="9">
        <f>AVERAGE(396.2,465.9)</f>
        <v>431.04999999999995</v>
      </c>
      <c r="AD189" s="9">
        <v>353.2</v>
      </c>
      <c r="AE189" s="9">
        <v>533.4</v>
      </c>
      <c r="AF189" s="61" t="s">
        <v>380</v>
      </c>
      <c r="AG189" s="61" t="s">
        <v>42</v>
      </c>
      <c r="AQ189" s="79"/>
    </row>
    <row r="190" spans="1:43">
      <c r="A190" s="16" t="s">
        <v>97</v>
      </c>
      <c r="B190" s="60" t="s">
        <v>266</v>
      </c>
      <c r="C190" s="18">
        <f t="shared" si="31"/>
        <v>205.4</v>
      </c>
      <c r="D190" s="30">
        <f t="shared" si="34"/>
        <v>209.5</v>
      </c>
      <c r="E190" s="30">
        <f t="shared" si="35"/>
        <v>201.3</v>
      </c>
      <c r="F190" s="31">
        <f t="shared" si="25"/>
        <v>862.66666666666663</v>
      </c>
      <c r="G190" s="31">
        <f t="shared" si="26"/>
        <v>529.33333333333337</v>
      </c>
      <c r="H190" s="31">
        <f t="shared" si="27"/>
        <v>1196</v>
      </c>
      <c r="I190" s="49">
        <v>1294</v>
      </c>
      <c r="J190" s="49">
        <f t="shared" si="33"/>
        <v>794</v>
      </c>
      <c r="K190" s="49">
        <f t="shared" si="32"/>
        <v>1794</v>
      </c>
      <c r="L190" s="49">
        <v>3000</v>
      </c>
      <c r="M190" s="31">
        <v>2000</v>
      </c>
      <c r="N190" s="15" t="s">
        <v>55</v>
      </c>
      <c r="O190" s="61" t="s">
        <v>42</v>
      </c>
      <c r="X190" s="13" t="s">
        <v>129</v>
      </c>
      <c r="Y190" s="79" t="s">
        <v>352</v>
      </c>
      <c r="Z190" s="14">
        <v>93.867999999999995</v>
      </c>
      <c r="AA190" s="14"/>
      <c r="AB190" s="14"/>
      <c r="AC190" s="9">
        <f>AVERAGE(402.4,470)</f>
        <v>436.2</v>
      </c>
      <c r="AD190" s="9">
        <v>357.3</v>
      </c>
      <c r="AE190" s="9">
        <v>545.70000000000005</v>
      </c>
      <c r="AF190" s="61" t="s">
        <v>380</v>
      </c>
      <c r="AG190" s="61" t="s">
        <v>42</v>
      </c>
      <c r="AQ190" s="79"/>
    </row>
    <row r="191" spans="1:43">
      <c r="A191" s="16" t="s">
        <v>97</v>
      </c>
      <c r="B191" s="60" t="s">
        <v>266</v>
      </c>
      <c r="C191" s="18">
        <f t="shared" si="31"/>
        <v>205.4</v>
      </c>
      <c r="D191" s="30">
        <f t="shared" si="34"/>
        <v>209.5</v>
      </c>
      <c r="E191" s="30">
        <f t="shared" si="35"/>
        <v>201.3</v>
      </c>
      <c r="F191" s="31">
        <f t="shared" si="25"/>
        <v>661</v>
      </c>
      <c r="G191" s="31">
        <f t="shared" si="26"/>
        <v>411</v>
      </c>
      <c r="H191" s="31">
        <f t="shared" si="27"/>
        <v>911</v>
      </c>
      <c r="I191" s="49">
        <v>1322</v>
      </c>
      <c r="J191" s="49">
        <f t="shared" si="33"/>
        <v>822</v>
      </c>
      <c r="K191" s="49">
        <f t="shared" si="32"/>
        <v>1822</v>
      </c>
      <c r="L191" s="49">
        <v>4000</v>
      </c>
      <c r="M191" s="31">
        <v>2000</v>
      </c>
      <c r="N191" s="15" t="s">
        <v>98</v>
      </c>
      <c r="O191" s="61" t="s">
        <v>42</v>
      </c>
      <c r="X191" s="13" t="s">
        <v>138</v>
      </c>
      <c r="Y191" s="79" t="s">
        <v>353</v>
      </c>
      <c r="Z191" s="14">
        <v>50.61</v>
      </c>
      <c r="AA191" s="14">
        <f>Z191+0.16</f>
        <v>50.769999999999996</v>
      </c>
      <c r="AB191" s="14">
        <f>Z191-0.16</f>
        <v>50.45</v>
      </c>
      <c r="AC191" s="15">
        <v>600</v>
      </c>
      <c r="AD191" s="15">
        <v>600</v>
      </c>
      <c r="AE191" s="15" t="s">
        <v>139</v>
      </c>
      <c r="AF191" s="50" t="s">
        <v>376</v>
      </c>
      <c r="AG191" s="61" t="s">
        <v>42</v>
      </c>
      <c r="AQ191" s="79"/>
    </row>
    <row r="192" spans="1:43">
      <c r="A192" s="16" t="s">
        <v>97</v>
      </c>
      <c r="B192" s="60" t="s">
        <v>266</v>
      </c>
      <c r="C192" s="18">
        <f t="shared" si="31"/>
        <v>205.4</v>
      </c>
      <c r="D192" s="30">
        <f t="shared" si="34"/>
        <v>209.5</v>
      </c>
      <c r="E192" s="30">
        <f t="shared" si="35"/>
        <v>201.3</v>
      </c>
      <c r="F192" s="31">
        <f t="shared" si="25"/>
        <v>1030</v>
      </c>
      <c r="G192" s="31">
        <f t="shared" si="26"/>
        <v>696.66666666666663</v>
      </c>
      <c r="H192" s="31">
        <f t="shared" si="27"/>
        <v>1363.3333333333333</v>
      </c>
      <c r="I192" s="49">
        <v>1545</v>
      </c>
      <c r="J192" s="49">
        <f t="shared" si="33"/>
        <v>1045</v>
      </c>
      <c r="K192" s="49">
        <f t="shared" si="32"/>
        <v>2045</v>
      </c>
      <c r="L192" s="49">
        <v>3000</v>
      </c>
      <c r="M192" s="31">
        <v>2000</v>
      </c>
      <c r="N192" s="15" t="s">
        <v>55</v>
      </c>
      <c r="O192" s="61" t="s">
        <v>42</v>
      </c>
      <c r="X192" s="13" t="s">
        <v>138</v>
      </c>
      <c r="Y192" s="79" t="s">
        <v>353</v>
      </c>
      <c r="Z192" s="14">
        <v>50.6</v>
      </c>
      <c r="AA192" s="14">
        <f>Z192+0.16</f>
        <v>50.76</v>
      </c>
      <c r="AB192" s="14">
        <f>Z192-0.16</f>
        <v>50.440000000000005</v>
      </c>
      <c r="AC192" s="15">
        <v>600</v>
      </c>
      <c r="AD192" s="15">
        <v>600</v>
      </c>
      <c r="AE192" s="15" t="s">
        <v>139</v>
      </c>
      <c r="AF192" s="50" t="s">
        <v>376</v>
      </c>
      <c r="AG192" s="61" t="s">
        <v>42</v>
      </c>
      <c r="AQ192" s="79"/>
    </row>
    <row r="193" spans="1:43">
      <c r="A193" s="16" t="s">
        <v>97</v>
      </c>
      <c r="B193" s="60" t="s">
        <v>266</v>
      </c>
      <c r="C193" s="18">
        <f t="shared" si="31"/>
        <v>205.4</v>
      </c>
      <c r="D193" s="30">
        <f t="shared" si="34"/>
        <v>209.5</v>
      </c>
      <c r="E193" s="30">
        <f t="shared" si="35"/>
        <v>201.3</v>
      </c>
      <c r="F193" s="31">
        <f t="shared" si="25"/>
        <v>513</v>
      </c>
      <c r="G193" s="31">
        <f t="shared" si="26"/>
        <v>263</v>
      </c>
      <c r="H193" s="31">
        <f t="shared" si="27"/>
        <v>763</v>
      </c>
      <c r="I193" s="49">
        <v>1026</v>
      </c>
      <c r="J193" s="49">
        <f t="shared" si="33"/>
        <v>526</v>
      </c>
      <c r="K193" s="49">
        <f t="shared" si="32"/>
        <v>1526</v>
      </c>
      <c r="L193" s="49">
        <v>4000</v>
      </c>
      <c r="M193" s="31">
        <v>2000</v>
      </c>
      <c r="N193" s="15" t="s">
        <v>98</v>
      </c>
      <c r="O193" s="61" t="s">
        <v>42</v>
      </c>
      <c r="X193" s="13" t="s">
        <v>138</v>
      </c>
      <c r="Y193" s="79" t="s">
        <v>353</v>
      </c>
      <c r="Z193" s="14">
        <v>50.6</v>
      </c>
      <c r="AA193" s="14">
        <f>Z193+0.16</f>
        <v>50.76</v>
      </c>
      <c r="AB193" s="14">
        <f>Z193-0.16</f>
        <v>50.440000000000005</v>
      </c>
      <c r="AC193" s="15">
        <v>600</v>
      </c>
      <c r="AD193" s="15">
        <v>600</v>
      </c>
      <c r="AE193" s="15" t="s">
        <v>139</v>
      </c>
      <c r="AF193" s="50" t="s">
        <v>376</v>
      </c>
      <c r="AG193" s="61" t="s">
        <v>42</v>
      </c>
      <c r="AQ193" s="79"/>
    </row>
    <row r="194" spans="1:43">
      <c r="A194" s="16" t="s">
        <v>97</v>
      </c>
      <c r="B194" s="60" t="s">
        <v>266</v>
      </c>
      <c r="C194" s="18">
        <f t="shared" si="31"/>
        <v>205.4</v>
      </c>
      <c r="D194" s="30">
        <f t="shared" si="34"/>
        <v>209.5</v>
      </c>
      <c r="E194" s="30">
        <f t="shared" si="35"/>
        <v>201.3</v>
      </c>
      <c r="F194" s="31">
        <f t="shared" si="25"/>
        <v>622.5</v>
      </c>
      <c r="G194" s="31">
        <f t="shared" si="26"/>
        <v>372.5</v>
      </c>
      <c r="H194" s="31">
        <f t="shared" si="27"/>
        <v>872.5</v>
      </c>
      <c r="I194" s="49">
        <v>1245</v>
      </c>
      <c r="J194" s="49">
        <f t="shared" si="33"/>
        <v>745</v>
      </c>
      <c r="K194" s="49">
        <f t="shared" si="32"/>
        <v>1745</v>
      </c>
      <c r="L194" s="49">
        <v>4000</v>
      </c>
      <c r="M194" s="31">
        <v>2000</v>
      </c>
      <c r="N194" s="15" t="s">
        <v>98</v>
      </c>
      <c r="O194" s="61" t="s">
        <v>42</v>
      </c>
      <c r="X194" s="13" t="s">
        <v>140</v>
      </c>
      <c r="Y194" s="79" t="s">
        <v>355</v>
      </c>
      <c r="Z194" s="14">
        <f>AVERAGE(AA194:AB194)</f>
        <v>203.65</v>
      </c>
      <c r="AA194" s="14">
        <v>206</v>
      </c>
      <c r="AB194" s="14">
        <v>201.3</v>
      </c>
      <c r="AC194" s="15">
        <f>AVERAGE(AD194:AE194)</f>
        <v>2200</v>
      </c>
      <c r="AD194" s="15">
        <v>1650</v>
      </c>
      <c r="AE194" s="15">
        <v>2750</v>
      </c>
      <c r="AF194" s="60" t="s">
        <v>118</v>
      </c>
      <c r="AG194" s="61" t="s">
        <v>42</v>
      </c>
      <c r="AQ194" s="79"/>
    </row>
    <row r="195" spans="1:43">
      <c r="A195" s="16" t="s">
        <v>97</v>
      </c>
      <c r="B195" s="60" t="s">
        <v>266</v>
      </c>
      <c r="C195" s="18">
        <f t="shared" si="31"/>
        <v>205.4</v>
      </c>
      <c r="D195" s="30">
        <f t="shared" si="34"/>
        <v>209.5</v>
      </c>
      <c r="E195" s="30">
        <f t="shared" si="35"/>
        <v>201.3</v>
      </c>
      <c r="F195" s="31">
        <f t="shared" si="25"/>
        <v>1556.6666666666667</v>
      </c>
      <c r="G195" s="31">
        <f t="shared" si="26"/>
        <v>1223.3333333333333</v>
      </c>
      <c r="H195" s="31">
        <f t="shared" si="27"/>
        <v>1890</v>
      </c>
      <c r="I195" s="49">
        <v>2335</v>
      </c>
      <c r="J195" s="49">
        <f t="shared" si="33"/>
        <v>1835</v>
      </c>
      <c r="K195" s="49">
        <f t="shared" si="32"/>
        <v>2835</v>
      </c>
      <c r="L195" s="49">
        <v>3000</v>
      </c>
      <c r="M195" s="31">
        <v>2000</v>
      </c>
      <c r="N195" s="15" t="s">
        <v>55</v>
      </c>
      <c r="O195" s="61" t="s">
        <v>42</v>
      </c>
      <c r="X195" s="13" t="s">
        <v>162</v>
      </c>
      <c r="Y195" s="79" t="s">
        <v>354</v>
      </c>
      <c r="Z195" s="14">
        <v>38.4</v>
      </c>
      <c r="AA195" s="14">
        <v>40.9</v>
      </c>
      <c r="AB195" s="14">
        <v>35.9</v>
      </c>
      <c r="AC195" s="31">
        <v>713.45125379836702</v>
      </c>
      <c r="AD195" s="31">
        <v>332.546841613097</v>
      </c>
      <c r="AE195" s="31" t="s">
        <v>139</v>
      </c>
      <c r="AF195" s="50" t="s">
        <v>376</v>
      </c>
      <c r="AG195" s="61" t="s">
        <v>42</v>
      </c>
      <c r="AQ195" s="79"/>
    </row>
    <row r="196" spans="1:43">
      <c r="A196" s="16" t="s">
        <v>97</v>
      </c>
      <c r="B196" s="60" t="s">
        <v>266</v>
      </c>
      <c r="C196" s="18">
        <f t="shared" si="31"/>
        <v>205.4</v>
      </c>
      <c r="D196" s="30">
        <f t="shared" si="34"/>
        <v>209.5</v>
      </c>
      <c r="E196" s="30">
        <f t="shared" si="35"/>
        <v>201.3</v>
      </c>
      <c r="F196" s="31">
        <f t="shared" ref="F196:F299" si="36">I196*$M196/$L196</f>
        <v>1202</v>
      </c>
      <c r="G196" s="31">
        <f t="shared" ref="G196:G299" si="37">J196*$M196/$L196</f>
        <v>952</v>
      </c>
      <c r="H196" s="31">
        <f t="shared" ref="H196:H299" si="38">K196*$M196/$L196</f>
        <v>1452</v>
      </c>
      <c r="I196" s="49">
        <v>2404</v>
      </c>
      <c r="J196" s="49">
        <f t="shared" si="33"/>
        <v>1904</v>
      </c>
      <c r="K196" s="49">
        <f t="shared" si="32"/>
        <v>2904</v>
      </c>
      <c r="L196" s="49">
        <v>4000</v>
      </c>
      <c r="M196" s="31">
        <v>2000</v>
      </c>
      <c r="N196" s="15" t="s">
        <v>98</v>
      </c>
      <c r="O196" s="61" t="s">
        <v>42</v>
      </c>
      <c r="X196" s="13" t="s">
        <v>168</v>
      </c>
      <c r="Y196" s="79" t="s">
        <v>294</v>
      </c>
      <c r="Z196" s="14">
        <f>AVERAGE(AA196:AB196)</f>
        <v>201.05</v>
      </c>
      <c r="AA196" s="14">
        <v>201.3</v>
      </c>
      <c r="AB196" s="14">
        <v>200.8</v>
      </c>
      <c r="AC196" s="31">
        <v>1320</v>
      </c>
      <c r="AD196" s="31">
        <v>880</v>
      </c>
      <c r="AE196" s="31">
        <v>1760</v>
      </c>
      <c r="AF196" s="50" t="s">
        <v>381</v>
      </c>
      <c r="AG196" s="61" t="s">
        <v>42</v>
      </c>
      <c r="AQ196" s="79"/>
    </row>
    <row r="197" spans="1:43">
      <c r="A197" s="16" t="s">
        <v>97</v>
      </c>
      <c r="B197" s="60" t="s">
        <v>266</v>
      </c>
      <c r="C197" s="18">
        <f t="shared" si="31"/>
        <v>205.4</v>
      </c>
      <c r="D197" s="30">
        <f t="shared" si="34"/>
        <v>209.5</v>
      </c>
      <c r="E197" s="30">
        <f t="shared" si="35"/>
        <v>201.3</v>
      </c>
      <c r="F197" s="31">
        <f t="shared" si="36"/>
        <v>1966.6666666666667</v>
      </c>
      <c r="G197" s="31">
        <f t="shared" si="37"/>
        <v>1633.3333333333333</v>
      </c>
      <c r="H197" s="31">
        <f t="shared" si="38"/>
        <v>2300</v>
      </c>
      <c r="I197" s="49">
        <v>2950</v>
      </c>
      <c r="J197" s="49">
        <f t="shared" si="33"/>
        <v>2450</v>
      </c>
      <c r="K197" s="49">
        <f t="shared" si="32"/>
        <v>3450</v>
      </c>
      <c r="L197" s="49">
        <v>3000</v>
      </c>
      <c r="M197" s="31">
        <v>2000</v>
      </c>
      <c r="N197" s="15" t="s">
        <v>55</v>
      </c>
      <c r="O197" s="61" t="s">
        <v>42</v>
      </c>
      <c r="X197" s="13" t="s">
        <v>168</v>
      </c>
      <c r="Y197" s="79" t="s">
        <v>294</v>
      </c>
      <c r="Z197" s="14">
        <f>AVERAGE(AA197:AB197)</f>
        <v>201.05</v>
      </c>
      <c r="AA197" s="14">
        <v>201.3</v>
      </c>
      <c r="AB197" s="14">
        <v>200.8</v>
      </c>
      <c r="AC197" s="31">
        <v>1140</v>
      </c>
      <c r="AD197" s="31">
        <v>760</v>
      </c>
      <c r="AE197" s="31">
        <v>1520</v>
      </c>
      <c r="AF197" s="50" t="s">
        <v>382</v>
      </c>
      <c r="AG197" s="61" t="s">
        <v>42</v>
      </c>
      <c r="AQ197" s="79"/>
    </row>
    <row r="198" spans="1:43">
      <c r="A198" s="16" t="s">
        <v>97</v>
      </c>
      <c r="B198" s="60" t="s">
        <v>266</v>
      </c>
      <c r="C198" s="18">
        <f t="shared" si="31"/>
        <v>205.4</v>
      </c>
      <c r="D198" s="30">
        <f t="shared" si="34"/>
        <v>209.5</v>
      </c>
      <c r="E198" s="30">
        <f t="shared" si="35"/>
        <v>201.3</v>
      </c>
      <c r="F198" s="31">
        <f t="shared" si="36"/>
        <v>1782.6666666666667</v>
      </c>
      <c r="G198" s="31">
        <f t="shared" si="37"/>
        <v>1449.3333333333333</v>
      </c>
      <c r="H198" s="31">
        <f t="shared" si="38"/>
        <v>2116</v>
      </c>
      <c r="I198" s="49">
        <v>2674</v>
      </c>
      <c r="J198" s="49">
        <f t="shared" si="33"/>
        <v>2174</v>
      </c>
      <c r="K198" s="49">
        <f t="shared" si="32"/>
        <v>3174</v>
      </c>
      <c r="L198" s="49">
        <v>3000</v>
      </c>
      <c r="M198" s="31">
        <v>2000</v>
      </c>
      <c r="N198" s="15" t="s">
        <v>55</v>
      </c>
      <c r="O198" s="61" t="s">
        <v>42</v>
      </c>
      <c r="X198" s="13" t="s">
        <v>168</v>
      </c>
      <c r="Y198" s="79" t="s">
        <v>294</v>
      </c>
      <c r="Z198" s="14">
        <f>AVERAGE(AA198:AB198)</f>
        <v>201.05</v>
      </c>
      <c r="AA198" s="14">
        <v>201.3</v>
      </c>
      <c r="AB198" s="14">
        <v>200.8</v>
      </c>
      <c r="AC198" s="31">
        <v>2791.5</v>
      </c>
      <c r="AD198" s="31">
        <v>1861</v>
      </c>
      <c r="AE198" s="31">
        <v>3722</v>
      </c>
      <c r="AF198" s="50" t="s">
        <v>383</v>
      </c>
      <c r="AG198" s="61" t="s">
        <v>42</v>
      </c>
      <c r="AQ198" s="79"/>
    </row>
    <row r="199" spans="1:43">
      <c r="A199" s="16" t="s">
        <v>97</v>
      </c>
      <c r="B199" s="60" t="s">
        <v>266</v>
      </c>
      <c r="C199" s="18">
        <f t="shared" si="31"/>
        <v>205.4</v>
      </c>
      <c r="D199" s="30">
        <f t="shared" si="34"/>
        <v>209.5</v>
      </c>
      <c r="E199" s="30">
        <f t="shared" si="35"/>
        <v>201.3</v>
      </c>
      <c r="F199" s="31">
        <f t="shared" si="36"/>
        <v>879.5</v>
      </c>
      <c r="G199" s="31">
        <f t="shared" si="37"/>
        <v>629.5</v>
      </c>
      <c r="H199" s="31">
        <f t="shared" si="38"/>
        <v>1129.5</v>
      </c>
      <c r="I199" s="49">
        <v>1759</v>
      </c>
      <c r="J199" s="49">
        <f t="shared" si="33"/>
        <v>1259</v>
      </c>
      <c r="K199" s="49">
        <f t="shared" si="32"/>
        <v>2259</v>
      </c>
      <c r="L199" s="49">
        <v>4000</v>
      </c>
      <c r="M199" s="31">
        <v>2000</v>
      </c>
      <c r="N199" s="15" t="s">
        <v>98</v>
      </c>
      <c r="O199" s="61" t="s">
        <v>42</v>
      </c>
      <c r="X199" s="13" t="s">
        <v>168</v>
      </c>
      <c r="Y199" s="79" t="s">
        <v>295</v>
      </c>
      <c r="Z199" s="18">
        <v>201.3</v>
      </c>
      <c r="AA199" s="14">
        <f>Z199+0.5</f>
        <v>201.8</v>
      </c>
      <c r="AB199" s="14">
        <f>Z199-0.5</f>
        <v>200.8</v>
      </c>
      <c r="AC199" s="31">
        <v>2151.75</v>
      </c>
      <c r="AD199" s="31">
        <v>1434.5</v>
      </c>
      <c r="AE199" s="31">
        <v>2869</v>
      </c>
      <c r="AF199" s="50" t="s">
        <v>384</v>
      </c>
      <c r="AG199" s="61" t="s">
        <v>42</v>
      </c>
      <c r="AQ199" s="79"/>
    </row>
    <row r="200" spans="1:43">
      <c r="A200" s="16" t="s">
        <v>97</v>
      </c>
      <c r="B200" s="60" t="s">
        <v>266</v>
      </c>
      <c r="C200" s="18">
        <f t="shared" si="31"/>
        <v>205.4</v>
      </c>
      <c r="D200" s="30">
        <f t="shared" si="34"/>
        <v>209.5</v>
      </c>
      <c r="E200" s="30">
        <f t="shared" si="35"/>
        <v>201.3</v>
      </c>
      <c r="F200" s="31">
        <f t="shared" si="36"/>
        <v>843</v>
      </c>
      <c r="G200" s="31">
        <f t="shared" si="37"/>
        <v>593</v>
      </c>
      <c r="H200" s="31">
        <f t="shared" si="38"/>
        <v>1093</v>
      </c>
      <c r="I200" s="49">
        <v>1686</v>
      </c>
      <c r="J200" s="49">
        <f t="shared" si="33"/>
        <v>1186</v>
      </c>
      <c r="K200" s="49">
        <f t="shared" si="32"/>
        <v>2186</v>
      </c>
      <c r="L200" s="49">
        <v>4000</v>
      </c>
      <c r="M200" s="31">
        <v>2000</v>
      </c>
      <c r="N200" s="15" t="s">
        <v>98</v>
      </c>
      <c r="O200" s="61" t="s">
        <v>42</v>
      </c>
      <c r="X200" s="13" t="s">
        <v>168</v>
      </c>
      <c r="Y200" s="79" t="s">
        <v>296</v>
      </c>
      <c r="Z200" s="14">
        <f t="shared" ref="Z200:Z205" si="39">AVERAGE(AA200:AB200)</f>
        <v>201.55</v>
      </c>
      <c r="AA200" s="14">
        <v>201.8</v>
      </c>
      <c r="AB200" s="14">
        <v>201.3</v>
      </c>
      <c r="AC200" s="31">
        <v>1445.25</v>
      </c>
      <c r="AD200" s="31">
        <v>963.5</v>
      </c>
      <c r="AE200" s="31">
        <v>1927</v>
      </c>
      <c r="AF200" s="50" t="s">
        <v>385</v>
      </c>
      <c r="AG200" s="61" t="s">
        <v>42</v>
      </c>
      <c r="AQ200" s="79"/>
    </row>
    <row r="201" spans="1:43">
      <c r="A201" s="16" t="s">
        <v>97</v>
      </c>
      <c r="B201" s="60" t="s">
        <v>266</v>
      </c>
      <c r="C201" s="18">
        <f t="shared" si="31"/>
        <v>205.4</v>
      </c>
      <c r="D201" s="30">
        <f t="shared" si="34"/>
        <v>209.5</v>
      </c>
      <c r="E201" s="30">
        <f t="shared" si="35"/>
        <v>201.3</v>
      </c>
      <c r="F201" s="31">
        <f t="shared" si="36"/>
        <v>1618.5</v>
      </c>
      <c r="G201" s="31">
        <f t="shared" si="37"/>
        <v>1368.5</v>
      </c>
      <c r="H201" s="31">
        <f t="shared" si="38"/>
        <v>1868.5</v>
      </c>
      <c r="I201" s="49">
        <v>3237</v>
      </c>
      <c r="J201" s="49">
        <f t="shared" si="33"/>
        <v>2737</v>
      </c>
      <c r="K201" s="49">
        <f t="shared" si="32"/>
        <v>3737</v>
      </c>
      <c r="L201" s="49">
        <v>4000</v>
      </c>
      <c r="M201" s="31">
        <v>2000</v>
      </c>
      <c r="N201" s="15" t="s">
        <v>98</v>
      </c>
      <c r="O201" s="61" t="s">
        <v>42</v>
      </c>
      <c r="X201" s="13" t="s">
        <v>168</v>
      </c>
      <c r="Y201" s="79" t="s">
        <v>296</v>
      </c>
      <c r="Z201" s="14">
        <f t="shared" si="39"/>
        <v>201.55</v>
      </c>
      <c r="AA201" s="14">
        <v>201.8</v>
      </c>
      <c r="AB201" s="14">
        <v>201.3</v>
      </c>
      <c r="AC201" s="31">
        <v>1092</v>
      </c>
      <c r="AD201" s="31">
        <v>728</v>
      </c>
      <c r="AE201" s="31">
        <v>1456</v>
      </c>
      <c r="AF201" s="50" t="s">
        <v>386</v>
      </c>
      <c r="AG201" s="61" t="s">
        <v>42</v>
      </c>
      <c r="AQ201" s="79"/>
    </row>
    <row r="202" spans="1:43">
      <c r="A202" s="16" t="s">
        <v>97</v>
      </c>
      <c r="B202" s="60" t="s">
        <v>266</v>
      </c>
      <c r="C202" s="18">
        <f t="shared" si="31"/>
        <v>205.4</v>
      </c>
      <c r="D202" s="30">
        <f t="shared" si="34"/>
        <v>209.5</v>
      </c>
      <c r="E202" s="30">
        <f t="shared" si="35"/>
        <v>201.3</v>
      </c>
      <c r="F202" s="31">
        <f t="shared" si="36"/>
        <v>1213.5</v>
      </c>
      <c r="G202" s="31">
        <f t="shared" si="37"/>
        <v>963.5</v>
      </c>
      <c r="H202" s="31">
        <f t="shared" si="38"/>
        <v>1463.5</v>
      </c>
      <c r="I202" s="49">
        <v>2427</v>
      </c>
      <c r="J202" s="49">
        <f t="shared" si="33"/>
        <v>1927</v>
      </c>
      <c r="K202" s="49">
        <f t="shared" si="32"/>
        <v>2927</v>
      </c>
      <c r="L202" s="49">
        <v>4000</v>
      </c>
      <c r="M202" s="31">
        <v>2000</v>
      </c>
      <c r="N202" s="15" t="s">
        <v>98</v>
      </c>
      <c r="O202" s="61" t="s">
        <v>42</v>
      </c>
      <c r="X202" s="13" t="s">
        <v>168</v>
      </c>
      <c r="Y202" s="79" t="s">
        <v>296</v>
      </c>
      <c r="Z202" s="14">
        <f t="shared" si="39"/>
        <v>201.55</v>
      </c>
      <c r="AA202" s="14">
        <v>201.8</v>
      </c>
      <c r="AB202" s="14">
        <v>201.3</v>
      </c>
      <c r="AC202" s="31">
        <v>1194.75</v>
      </c>
      <c r="AD202" s="31">
        <v>796.5</v>
      </c>
      <c r="AE202" s="31">
        <v>1593</v>
      </c>
      <c r="AF202" s="50" t="s">
        <v>387</v>
      </c>
      <c r="AG202" s="61" t="s">
        <v>42</v>
      </c>
      <c r="AQ202" s="79"/>
    </row>
    <row r="203" spans="1:43">
      <c r="A203" s="16" t="s">
        <v>97</v>
      </c>
      <c r="B203" s="60" t="s">
        <v>266</v>
      </c>
      <c r="C203" s="18">
        <f t="shared" si="31"/>
        <v>205.4</v>
      </c>
      <c r="D203" s="30">
        <f t="shared" si="34"/>
        <v>209.5</v>
      </c>
      <c r="E203" s="30">
        <f t="shared" si="35"/>
        <v>201.3</v>
      </c>
      <c r="F203" s="31">
        <f t="shared" si="36"/>
        <v>613.5</v>
      </c>
      <c r="G203" s="31">
        <f t="shared" si="37"/>
        <v>363.5</v>
      </c>
      <c r="H203" s="31">
        <f t="shared" si="38"/>
        <v>863.5</v>
      </c>
      <c r="I203" s="49">
        <v>1227</v>
      </c>
      <c r="J203" s="49">
        <f t="shared" si="33"/>
        <v>727</v>
      </c>
      <c r="K203" s="49">
        <f t="shared" si="32"/>
        <v>1727</v>
      </c>
      <c r="L203" s="49">
        <v>4000</v>
      </c>
      <c r="M203" s="31">
        <v>2000</v>
      </c>
      <c r="N203" s="15" t="s">
        <v>98</v>
      </c>
      <c r="O203" s="61" t="s">
        <v>42</v>
      </c>
      <c r="X203" s="13" t="s">
        <v>168</v>
      </c>
      <c r="Y203" s="79" t="s">
        <v>296</v>
      </c>
      <c r="Z203" s="14">
        <f t="shared" si="39"/>
        <v>201.55</v>
      </c>
      <c r="AA203" s="14">
        <v>201.8</v>
      </c>
      <c r="AB203" s="14">
        <v>201.3</v>
      </c>
      <c r="AC203" s="31">
        <v>1236</v>
      </c>
      <c r="AD203" s="31">
        <v>824</v>
      </c>
      <c r="AE203" s="31">
        <v>1648</v>
      </c>
      <c r="AF203" s="50" t="s">
        <v>388</v>
      </c>
      <c r="AG203" s="61" t="s">
        <v>42</v>
      </c>
      <c r="AQ203" s="79"/>
    </row>
    <row r="204" spans="1:43">
      <c r="A204" s="16" t="s">
        <v>97</v>
      </c>
      <c r="B204" s="60" t="s">
        <v>266</v>
      </c>
      <c r="C204" s="18">
        <f t="shared" si="31"/>
        <v>205.4</v>
      </c>
      <c r="D204" s="30">
        <f t="shared" si="34"/>
        <v>209.5</v>
      </c>
      <c r="E204" s="30">
        <f t="shared" si="35"/>
        <v>201.3</v>
      </c>
      <c r="F204" s="31">
        <f t="shared" si="36"/>
        <v>1267</v>
      </c>
      <c r="G204" s="31">
        <f t="shared" si="37"/>
        <v>1017</v>
      </c>
      <c r="H204" s="31">
        <f t="shared" si="38"/>
        <v>1517</v>
      </c>
      <c r="I204" s="49">
        <v>2534</v>
      </c>
      <c r="J204" s="49">
        <f t="shared" si="33"/>
        <v>2034</v>
      </c>
      <c r="K204" s="49">
        <f t="shared" si="32"/>
        <v>3034</v>
      </c>
      <c r="L204" s="49">
        <v>4000</v>
      </c>
      <c r="M204" s="31">
        <v>2000</v>
      </c>
      <c r="N204" s="15" t="s">
        <v>98</v>
      </c>
      <c r="O204" s="61" t="s">
        <v>42</v>
      </c>
      <c r="X204" s="13" t="s">
        <v>168</v>
      </c>
      <c r="Y204" s="79" t="s">
        <v>296</v>
      </c>
      <c r="Z204" s="14">
        <f t="shared" si="39"/>
        <v>201.55</v>
      </c>
      <c r="AA204" s="14">
        <v>201.8</v>
      </c>
      <c r="AB204" s="14">
        <v>201.3</v>
      </c>
      <c r="AC204" s="31">
        <v>1113</v>
      </c>
      <c r="AD204" s="31">
        <v>742</v>
      </c>
      <c r="AE204" s="31">
        <v>1484</v>
      </c>
      <c r="AF204" s="50" t="s">
        <v>389</v>
      </c>
      <c r="AG204" s="61" t="s">
        <v>42</v>
      </c>
      <c r="AQ204" s="79"/>
    </row>
    <row r="205" spans="1:43">
      <c r="A205" s="16" t="s">
        <v>97</v>
      </c>
      <c r="B205" s="60" t="s">
        <v>266</v>
      </c>
      <c r="C205" s="18">
        <f t="shared" si="31"/>
        <v>205.4</v>
      </c>
      <c r="D205" s="30">
        <f t="shared" si="34"/>
        <v>209.5</v>
      </c>
      <c r="E205" s="30">
        <f t="shared" si="35"/>
        <v>201.3</v>
      </c>
      <c r="F205" s="31">
        <f t="shared" si="36"/>
        <v>773</v>
      </c>
      <c r="G205" s="31">
        <f t="shared" si="37"/>
        <v>523</v>
      </c>
      <c r="H205" s="31">
        <f t="shared" si="38"/>
        <v>1023</v>
      </c>
      <c r="I205" s="49">
        <v>1546</v>
      </c>
      <c r="J205" s="49">
        <f t="shared" si="33"/>
        <v>1046</v>
      </c>
      <c r="K205" s="49">
        <f t="shared" si="32"/>
        <v>2046</v>
      </c>
      <c r="L205" s="49">
        <v>4000</v>
      </c>
      <c r="M205" s="31">
        <v>2000</v>
      </c>
      <c r="N205" s="15" t="s">
        <v>98</v>
      </c>
      <c r="O205" s="61" t="s">
        <v>42</v>
      </c>
      <c r="X205" s="13" t="s">
        <v>168</v>
      </c>
      <c r="Y205" s="79" t="s">
        <v>294</v>
      </c>
      <c r="Z205" s="14">
        <f t="shared" si="39"/>
        <v>201.05</v>
      </c>
      <c r="AA205" s="14">
        <v>201.3</v>
      </c>
      <c r="AB205" s="14">
        <v>200.8</v>
      </c>
      <c r="AC205" s="31">
        <v>1468.5</v>
      </c>
      <c r="AD205" s="31">
        <v>979</v>
      </c>
      <c r="AE205" s="31">
        <v>1958</v>
      </c>
      <c r="AF205" s="50" t="s">
        <v>390</v>
      </c>
      <c r="AG205" s="61" t="s">
        <v>42</v>
      </c>
      <c r="AQ205" s="79"/>
    </row>
    <row r="206" spans="1:43">
      <c r="A206" s="16" t="s">
        <v>97</v>
      </c>
      <c r="B206" s="60" t="s">
        <v>266</v>
      </c>
      <c r="C206" s="18">
        <f t="shared" si="31"/>
        <v>205.4</v>
      </c>
      <c r="D206" s="30">
        <f t="shared" si="34"/>
        <v>209.5</v>
      </c>
      <c r="E206" s="30">
        <f t="shared" si="35"/>
        <v>201.3</v>
      </c>
      <c r="F206" s="31">
        <f t="shared" si="36"/>
        <v>341</v>
      </c>
      <c r="G206" s="31">
        <f t="shared" si="37"/>
        <v>91</v>
      </c>
      <c r="H206" s="31">
        <f t="shared" si="38"/>
        <v>591</v>
      </c>
      <c r="I206" s="49">
        <v>682</v>
      </c>
      <c r="J206" s="49">
        <f t="shared" si="33"/>
        <v>182</v>
      </c>
      <c r="K206" s="49">
        <f t="shared" si="32"/>
        <v>1182</v>
      </c>
      <c r="L206" s="49">
        <v>4000</v>
      </c>
      <c r="M206" s="31">
        <v>2000</v>
      </c>
      <c r="N206" s="15" t="s">
        <v>98</v>
      </c>
      <c r="O206" s="61" t="s">
        <v>42</v>
      </c>
      <c r="X206" s="13" t="s">
        <v>168</v>
      </c>
      <c r="Y206" s="79" t="s">
        <v>295</v>
      </c>
      <c r="Z206" s="14">
        <v>201.3</v>
      </c>
      <c r="AA206" s="14">
        <f>Z206+0.5</f>
        <v>201.8</v>
      </c>
      <c r="AB206" s="14">
        <f>Z206-0.5</f>
        <v>200.8</v>
      </c>
      <c r="AC206" s="31">
        <v>1603.875</v>
      </c>
      <c r="AD206" s="31">
        <v>1069.25</v>
      </c>
      <c r="AE206" s="31">
        <v>2138.5</v>
      </c>
      <c r="AF206" s="50" t="s">
        <v>391</v>
      </c>
      <c r="AG206" s="61" t="s">
        <v>42</v>
      </c>
      <c r="AQ206" s="79"/>
    </row>
    <row r="207" spans="1:43">
      <c r="A207" s="16" t="s">
        <v>97</v>
      </c>
      <c r="B207" s="60" t="s">
        <v>266</v>
      </c>
      <c r="C207" s="18">
        <f t="shared" si="31"/>
        <v>205.4</v>
      </c>
      <c r="D207" s="30">
        <f t="shared" si="34"/>
        <v>209.5</v>
      </c>
      <c r="E207" s="30">
        <f t="shared" si="35"/>
        <v>201.3</v>
      </c>
      <c r="F207" s="31">
        <f t="shared" si="36"/>
        <v>961</v>
      </c>
      <c r="G207" s="31">
        <f t="shared" si="37"/>
        <v>711</v>
      </c>
      <c r="H207" s="31">
        <f t="shared" si="38"/>
        <v>1211</v>
      </c>
      <c r="I207" s="49">
        <v>1922</v>
      </c>
      <c r="J207" s="49">
        <f t="shared" si="33"/>
        <v>1422</v>
      </c>
      <c r="K207" s="49">
        <f t="shared" si="32"/>
        <v>2422</v>
      </c>
      <c r="L207" s="49">
        <v>4000</v>
      </c>
      <c r="M207" s="31">
        <v>2000</v>
      </c>
      <c r="N207" s="15" t="s">
        <v>98</v>
      </c>
      <c r="O207" s="61" t="s">
        <v>42</v>
      </c>
      <c r="X207" s="13" t="s">
        <v>168</v>
      </c>
      <c r="Y207" s="79" t="s">
        <v>296</v>
      </c>
      <c r="Z207" s="14">
        <f t="shared" ref="Z207:Z215" si="40">AVERAGE(AA207:AB207)</f>
        <v>201.55</v>
      </c>
      <c r="AA207" s="14">
        <v>201.8</v>
      </c>
      <c r="AB207" s="14">
        <v>201.3</v>
      </c>
      <c r="AC207" s="31">
        <v>1761</v>
      </c>
      <c r="AD207" s="31">
        <v>1174</v>
      </c>
      <c r="AE207" s="31">
        <v>2348</v>
      </c>
      <c r="AF207" s="50" t="s">
        <v>392</v>
      </c>
      <c r="AG207" s="61" t="s">
        <v>42</v>
      </c>
      <c r="AQ207" s="79"/>
    </row>
    <row r="208" spans="1:43">
      <c r="A208" s="16" t="s">
        <v>97</v>
      </c>
      <c r="B208" s="60" t="s">
        <v>266</v>
      </c>
      <c r="C208" s="18">
        <f t="shared" si="31"/>
        <v>205.4</v>
      </c>
      <c r="D208" s="30">
        <f t="shared" si="34"/>
        <v>209.5</v>
      </c>
      <c r="E208" s="30">
        <f t="shared" si="35"/>
        <v>201.3</v>
      </c>
      <c r="F208" s="31">
        <f t="shared" si="36"/>
        <v>1171</v>
      </c>
      <c r="G208" s="31">
        <f t="shared" si="37"/>
        <v>921</v>
      </c>
      <c r="H208" s="31">
        <f t="shared" si="38"/>
        <v>1421</v>
      </c>
      <c r="I208" s="49">
        <v>2342</v>
      </c>
      <c r="J208" s="49">
        <f t="shared" si="33"/>
        <v>1842</v>
      </c>
      <c r="K208" s="49">
        <f t="shared" si="32"/>
        <v>2842</v>
      </c>
      <c r="L208" s="49">
        <v>4000</v>
      </c>
      <c r="M208" s="31">
        <v>2000</v>
      </c>
      <c r="N208" s="15" t="s">
        <v>98</v>
      </c>
      <c r="O208" s="61" t="s">
        <v>42</v>
      </c>
      <c r="X208" s="13" t="s">
        <v>168</v>
      </c>
      <c r="Y208" s="79" t="s">
        <v>296</v>
      </c>
      <c r="Z208" s="14">
        <f t="shared" si="40"/>
        <v>201.55</v>
      </c>
      <c r="AA208" s="14">
        <v>201.8</v>
      </c>
      <c r="AB208" s="14">
        <v>201.3</v>
      </c>
      <c r="AC208" s="31">
        <v>1599.75</v>
      </c>
      <c r="AD208" s="31">
        <v>1066.5</v>
      </c>
      <c r="AE208" s="31">
        <v>2133</v>
      </c>
      <c r="AF208" s="50" t="s">
        <v>393</v>
      </c>
      <c r="AG208" s="61" t="s">
        <v>42</v>
      </c>
      <c r="AQ208" s="79"/>
    </row>
    <row r="209" spans="1:43">
      <c r="A209" s="13" t="s">
        <v>122</v>
      </c>
      <c r="B209" s="61" t="s">
        <v>268</v>
      </c>
      <c r="C209" s="14">
        <v>12.8</v>
      </c>
      <c r="D209" s="14"/>
      <c r="E209" s="14"/>
      <c r="F209" s="31">
        <f t="shared" si="36"/>
        <v>433</v>
      </c>
      <c r="G209" s="31">
        <f t="shared" si="37"/>
        <v>305</v>
      </c>
      <c r="H209" s="31">
        <f t="shared" si="38"/>
        <v>561</v>
      </c>
      <c r="I209" s="15">
        <v>433</v>
      </c>
      <c r="J209" s="15">
        <v>305</v>
      </c>
      <c r="K209" s="15">
        <v>561</v>
      </c>
      <c r="L209" s="31">
        <v>2967</v>
      </c>
      <c r="M209" s="31">
        <f t="shared" ref="M209:M217" si="41">L209</f>
        <v>2967</v>
      </c>
      <c r="O209" s="61" t="s">
        <v>42</v>
      </c>
      <c r="X209" s="13" t="s">
        <v>168</v>
      </c>
      <c r="Y209" s="79" t="s">
        <v>296</v>
      </c>
      <c r="Z209" s="14">
        <f t="shared" si="40"/>
        <v>201.55</v>
      </c>
      <c r="AA209" s="14">
        <v>201.8</v>
      </c>
      <c r="AB209" s="14">
        <v>201.3</v>
      </c>
      <c r="AC209" s="31">
        <v>1459.125</v>
      </c>
      <c r="AD209" s="31">
        <v>972.75</v>
      </c>
      <c r="AE209" s="31">
        <v>1945.5</v>
      </c>
      <c r="AF209" s="50" t="s">
        <v>394</v>
      </c>
      <c r="AG209" s="61" t="s">
        <v>42</v>
      </c>
      <c r="AQ209" s="79"/>
    </row>
    <row r="210" spans="1:43">
      <c r="A210" s="13" t="s">
        <v>122</v>
      </c>
      <c r="B210" s="61" t="s">
        <v>268</v>
      </c>
      <c r="C210" s="14">
        <v>13.14</v>
      </c>
      <c r="D210" s="14"/>
      <c r="E210" s="14"/>
      <c r="F210" s="31">
        <f t="shared" si="36"/>
        <v>519</v>
      </c>
      <c r="G210" s="31">
        <f t="shared" si="37"/>
        <v>262</v>
      </c>
      <c r="H210" s="31">
        <f t="shared" si="38"/>
        <v>776</v>
      </c>
      <c r="I210" s="15">
        <v>519</v>
      </c>
      <c r="J210" s="15">
        <v>262</v>
      </c>
      <c r="K210" s="15">
        <v>776</v>
      </c>
      <c r="L210" s="15">
        <v>1728</v>
      </c>
      <c r="M210" s="31">
        <f t="shared" si="41"/>
        <v>1728</v>
      </c>
      <c r="O210" s="61" t="s">
        <v>42</v>
      </c>
      <c r="X210" s="13" t="s">
        <v>168</v>
      </c>
      <c r="Y210" s="79" t="s">
        <v>296</v>
      </c>
      <c r="Z210" s="14">
        <f t="shared" si="40"/>
        <v>201.55</v>
      </c>
      <c r="AA210" s="14">
        <v>201.8</v>
      </c>
      <c r="AB210" s="14">
        <v>201.3</v>
      </c>
      <c r="AC210" s="31">
        <v>880.5</v>
      </c>
      <c r="AD210" s="31">
        <v>587</v>
      </c>
      <c r="AE210" s="31">
        <v>1174</v>
      </c>
      <c r="AF210" s="50" t="s">
        <v>395</v>
      </c>
      <c r="AG210" s="61" t="s">
        <v>42</v>
      </c>
      <c r="AQ210" s="79"/>
    </row>
    <row r="211" spans="1:43">
      <c r="A211" s="13" t="s">
        <v>122</v>
      </c>
      <c r="B211" s="61" t="s">
        <v>268</v>
      </c>
      <c r="C211" s="14">
        <v>13.76</v>
      </c>
      <c r="D211" s="14"/>
      <c r="E211" s="14"/>
      <c r="F211" s="31">
        <f t="shared" si="36"/>
        <v>310</v>
      </c>
      <c r="G211" s="31">
        <f t="shared" si="37"/>
        <v>233</v>
      </c>
      <c r="H211" s="31">
        <f t="shared" si="38"/>
        <v>387</v>
      </c>
      <c r="I211" s="15">
        <v>310</v>
      </c>
      <c r="J211" s="15">
        <v>233</v>
      </c>
      <c r="K211" s="15">
        <v>387</v>
      </c>
      <c r="L211" s="15">
        <v>3564</v>
      </c>
      <c r="M211" s="31">
        <f t="shared" si="41"/>
        <v>3564</v>
      </c>
      <c r="O211" s="61" t="s">
        <v>42</v>
      </c>
      <c r="X211" s="13" t="s">
        <v>168</v>
      </c>
      <c r="Y211" s="79" t="s">
        <v>296</v>
      </c>
      <c r="Z211" s="14">
        <f t="shared" si="40"/>
        <v>201.55</v>
      </c>
      <c r="AA211" s="14">
        <v>201.8</v>
      </c>
      <c r="AB211" s="14">
        <v>201.3</v>
      </c>
      <c r="AC211" s="31">
        <v>1206</v>
      </c>
      <c r="AD211" s="31">
        <v>804</v>
      </c>
      <c r="AE211" s="31">
        <v>1608</v>
      </c>
      <c r="AF211" s="50" t="s">
        <v>396</v>
      </c>
      <c r="AG211" s="61" t="s">
        <v>42</v>
      </c>
      <c r="AQ211" s="79"/>
    </row>
    <row r="212" spans="1:43">
      <c r="A212" s="13" t="s">
        <v>122</v>
      </c>
      <c r="B212" s="61" t="s">
        <v>268</v>
      </c>
      <c r="C212" s="14">
        <v>14.4</v>
      </c>
      <c r="D212" s="14"/>
      <c r="E212" s="14"/>
      <c r="F212" s="31">
        <f t="shared" si="36"/>
        <v>203</v>
      </c>
      <c r="G212" s="31">
        <f t="shared" si="37"/>
        <v>133</v>
      </c>
      <c r="H212" s="31">
        <f t="shared" si="38"/>
        <v>273</v>
      </c>
      <c r="I212" s="15">
        <v>203</v>
      </c>
      <c r="J212" s="15">
        <v>133</v>
      </c>
      <c r="K212" s="15">
        <v>273</v>
      </c>
      <c r="L212" s="15">
        <v>2541</v>
      </c>
      <c r="M212" s="31">
        <f t="shared" si="41"/>
        <v>2541</v>
      </c>
      <c r="O212" s="61" t="s">
        <v>42</v>
      </c>
      <c r="X212" s="13" t="s">
        <v>168</v>
      </c>
      <c r="Y212" s="79" t="s">
        <v>296</v>
      </c>
      <c r="Z212" s="14">
        <f t="shared" si="40"/>
        <v>201.55</v>
      </c>
      <c r="AA212" s="14">
        <v>201.8</v>
      </c>
      <c r="AB212" s="14">
        <v>201.3</v>
      </c>
      <c r="AC212" s="31">
        <v>1122.3922499999999</v>
      </c>
      <c r="AD212" s="31">
        <v>748.26150000000007</v>
      </c>
      <c r="AE212" s="31">
        <v>1496.5230000000001</v>
      </c>
      <c r="AF212" s="50" t="s">
        <v>397</v>
      </c>
      <c r="AG212" s="61" t="s">
        <v>42</v>
      </c>
      <c r="AQ212" s="79"/>
    </row>
    <row r="213" spans="1:43">
      <c r="A213" s="13" t="s">
        <v>122</v>
      </c>
      <c r="B213" s="61" t="s">
        <v>268</v>
      </c>
      <c r="C213" s="14">
        <v>14.66</v>
      </c>
      <c r="D213" s="14"/>
      <c r="E213" s="14"/>
      <c r="F213" s="31">
        <f t="shared" si="36"/>
        <v>116</v>
      </c>
      <c r="G213" s="31">
        <f t="shared" si="37"/>
        <v>79</v>
      </c>
      <c r="H213" s="31">
        <f t="shared" si="38"/>
        <v>153</v>
      </c>
      <c r="I213" s="15">
        <v>116</v>
      </c>
      <c r="J213" s="15">
        <v>79</v>
      </c>
      <c r="K213" s="15">
        <v>153</v>
      </c>
      <c r="L213" s="15">
        <v>2837</v>
      </c>
      <c r="M213" s="31">
        <f t="shared" si="41"/>
        <v>2837</v>
      </c>
      <c r="O213" s="61" t="s">
        <v>42</v>
      </c>
      <c r="X213" s="13" t="s">
        <v>169</v>
      </c>
      <c r="Y213" s="79" t="s">
        <v>198</v>
      </c>
      <c r="Z213" s="11">
        <f t="shared" si="40"/>
        <v>3.0949999999999998</v>
      </c>
      <c r="AA213" s="14">
        <v>3.6</v>
      </c>
      <c r="AB213" s="14">
        <v>2.59</v>
      </c>
      <c r="AC213" s="15">
        <v>351</v>
      </c>
      <c r="AD213" s="15">
        <v>333</v>
      </c>
      <c r="AE213" s="15">
        <v>378</v>
      </c>
      <c r="AF213" s="50" t="s">
        <v>376</v>
      </c>
      <c r="AG213" s="61" t="s">
        <v>42</v>
      </c>
      <c r="AQ213" s="79"/>
    </row>
    <row r="214" spans="1:43">
      <c r="A214" s="13" t="s">
        <v>122</v>
      </c>
      <c r="B214" s="61" t="s">
        <v>268</v>
      </c>
      <c r="C214" s="14">
        <v>15.11</v>
      </c>
      <c r="D214" s="14"/>
      <c r="E214" s="14"/>
      <c r="F214" s="31">
        <f t="shared" si="36"/>
        <v>291</v>
      </c>
      <c r="G214" s="31">
        <f t="shared" si="37"/>
        <v>209</v>
      </c>
      <c r="H214" s="31">
        <f t="shared" si="38"/>
        <v>373</v>
      </c>
      <c r="I214" s="15">
        <v>291</v>
      </c>
      <c r="J214" s="15">
        <v>209</v>
      </c>
      <c r="K214" s="15">
        <v>373</v>
      </c>
      <c r="L214" s="15">
        <v>3138</v>
      </c>
      <c r="M214" s="31">
        <f t="shared" si="41"/>
        <v>3138</v>
      </c>
      <c r="O214" s="61" t="s">
        <v>42</v>
      </c>
      <c r="X214" s="13" t="s">
        <v>169</v>
      </c>
      <c r="Y214" s="79" t="s">
        <v>356</v>
      </c>
      <c r="Z214" s="14">
        <f t="shared" si="40"/>
        <v>8.48</v>
      </c>
      <c r="AA214" s="14">
        <v>11.63</v>
      </c>
      <c r="AB214" s="14">
        <v>5.33</v>
      </c>
      <c r="AC214" s="15">
        <v>360</v>
      </c>
      <c r="AD214" s="15">
        <v>343</v>
      </c>
      <c r="AE214" s="15">
        <v>383</v>
      </c>
      <c r="AF214" s="50" t="s">
        <v>376</v>
      </c>
      <c r="AG214" s="61" t="s">
        <v>42</v>
      </c>
      <c r="AQ214" s="79"/>
    </row>
    <row r="215" spans="1:43">
      <c r="A215" s="13" t="s">
        <v>122</v>
      </c>
      <c r="B215" s="61" t="s">
        <v>268</v>
      </c>
      <c r="C215" s="14">
        <v>15.61</v>
      </c>
      <c r="D215" s="14"/>
      <c r="E215" s="14"/>
      <c r="F215" s="31">
        <f t="shared" si="36"/>
        <v>852</v>
      </c>
      <c r="G215" s="31">
        <f t="shared" si="37"/>
        <v>766</v>
      </c>
      <c r="H215" s="31">
        <f t="shared" si="38"/>
        <v>938</v>
      </c>
      <c r="I215" s="15">
        <v>852</v>
      </c>
      <c r="J215" s="15">
        <v>766</v>
      </c>
      <c r="K215" s="15">
        <v>938</v>
      </c>
      <c r="L215" s="15">
        <v>8981</v>
      </c>
      <c r="M215" s="31">
        <f t="shared" si="41"/>
        <v>8981</v>
      </c>
      <c r="O215" s="61" t="s">
        <v>42</v>
      </c>
      <c r="X215" s="13" t="s">
        <v>375</v>
      </c>
      <c r="Y215" s="79" t="s">
        <v>359</v>
      </c>
      <c r="Z215" s="14">
        <f t="shared" si="40"/>
        <v>47.4</v>
      </c>
      <c r="AA215" s="14">
        <v>46.8</v>
      </c>
      <c r="AB215" s="14">
        <v>48</v>
      </c>
      <c r="AC215" s="9">
        <f>AVERAGE(AD215:AE215)</f>
        <v>943</v>
      </c>
      <c r="AD215" s="15">
        <v>853</v>
      </c>
      <c r="AE215" s="15">
        <v>1033</v>
      </c>
      <c r="AF215" s="60" t="s">
        <v>373</v>
      </c>
      <c r="AG215" s="61" t="s">
        <v>42</v>
      </c>
      <c r="AQ215" s="79"/>
    </row>
    <row r="216" spans="1:43">
      <c r="A216" s="13" t="s">
        <v>122</v>
      </c>
      <c r="B216" s="61" t="s">
        <v>268</v>
      </c>
      <c r="C216" s="14">
        <v>15.98</v>
      </c>
      <c r="D216" s="14"/>
      <c r="E216" s="14"/>
      <c r="F216" s="31">
        <f t="shared" si="36"/>
        <v>579</v>
      </c>
      <c r="G216" s="31">
        <f t="shared" si="37"/>
        <v>489</v>
      </c>
      <c r="H216" s="31">
        <f t="shared" si="38"/>
        <v>669</v>
      </c>
      <c r="I216" s="15">
        <v>579</v>
      </c>
      <c r="J216" s="15">
        <v>489</v>
      </c>
      <c r="K216" s="15">
        <v>669</v>
      </c>
      <c r="L216" s="15">
        <v>5813</v>
      </c>
      <c r="M216" s="31">
        <f t="shared" si="41"/>
        <v>5813</v>
      </c>
      <c r="O216" s="61" t="s">
        <v>42</v>
      </c>
      <c r="X216" s="13" t="s">
        <v>172</v>
      </c>
      <c r="Y216" s="79" t="s">
        <v>358</v>
      </c>
      <c r="Z216" s="14">
        <f t="shared" ref="Z216:Z219" si="42">AVERAGE(AA216:AB216)</f>
        <v>84.949999999999989</v>
      </c>
      <c r="AA216" s="14">
        <v>86.3</v>
      </c>
      <c r="AB216" s="14">
        <v>83.6</v>
      </c>
      <c r="AC216" s="9">
        <f>(415*6.76-1961)*2000/(3337*6.76-20000)</f>
        <v>660.17231404312577</v>
      </c>
      <c r="AD216" s="9">
        <v>542.25392287586294</v>
      </c>
      <c r="AE216" s="9">
        <v>1895.5765272427025</v>
      </c>
      <c r="AF216" s="60" t="s">
        <v>118</v>
      </c>
      <c r="AG216" s="61" t="s">
        <v>42</v>
      </c>
      <c r="AQ216" s="79"/>
    </row>
    <row r="217" spans="1:43">
      <c r="A217" s="13" t="s">
        <v>122</v>
      </c>
      <c r="B217" s="61" t="s">
        <v>268</v>
      </c>
      <c r="C217" s="14">
        <v>16.13</v>
      </c>
      <c r="D217" s="14"/>
      <c r="E217" s="14"/>
      <c r="F217" s="31">
        <f t="shared" si="36"/>
        <v>487</v>
      </c>
      <c r="G217" s="31">
        <f t="shared" si="37"/>
        <v>390</v>
      </c>
      <c r="H217" s="31">
        <f t="shared" si="38"/>
        <v>584</v>
      </c>
      <c r="I217" s="15">
        <v>487</v>
      </c>
      <c r="J217" s="15">
        <v>390</v>
      </c>
      <c r="K217" s="15">
        <v>584</v>
      </c>
      <c r="L217" s="15">
        <v>4487</v>
      </c>
      <c r="M217" s="31">
        <f t="shared" si="41"/>
        <v>4487</v>
      </c>
      <c r="O217" s="61" t="s">
        <v>42</v>
      </c>
      <c r="X217" s="13" t="s">
        <v>172</v>
      </c>
      <c r="Y217" s="79" t="s">
        <v>358</v>
      </c>
      <c r="Z217" s="14">
        <f t="shared" si="42"/>
        <v>84.949999999999989</v>
      </c>
      <c r="AA217" s="14">
        <v>86.3</v>
      </c>
      <c r="AB217" s="14">
        <v>83.6</v>
      </c>
      <c r="AC217" s="9">
        <f>(415*7.11-1961)*2000/(3337*7.11-20000)</f>
        <v>531.20311749376697</v>
      </c>
      <c r="AD217" s="9">
        <v>473.48256307912334</v>
      </c>
      <c r="AE217" s="9">
        <v>732.78951635414808</v>
      </c>
      <c r="AF217" s="60" t="s">
        <v>118</v>
      </c>
      <c r="AG217" s="61" t="s">
        <v>42</v>
      </c>
      <c r="AQ217" s="79"/>
    </row>
    <row r="218" spans="1:43">
      <c r="A218" s="13" t="s">
        <v>143</v>
      </c>
      <c r="B218" s="61" t="s">
        <v>269</v>
      </c>
      <c r="C218" s="18">
        <f>AVERAGE(D218:E218)</f>
        <v>95.25</v>
      </c>
      <c r="D218" s="14">
        <v>100.5</v>
      </c>
      <c r="E218" s="14">
        <v>90</v>
      </c>
      <c r="F218" s="31">
        <f t="shared" si="36"/>
        <v>1307.2</v>
      </c>
      <c r="G218" s="31">
        <f t="shared" si="37"/>
        <v>755.2</v>
      </c>
      <c r="H218" s="31">
        <f t="shared" si="38"/>
        <v>1859.2</v>
      </c>
      <c r="I218" s="15">
        <v>3268</v>
      </c>
      <c r="J218" s="15">
        <f>I218-1380</f>
        <v>1888</v>
      </c>
      <c r="K218" s="15">
        <f>I218+1380</f>
        <v>4648</v>
      </c>
      <c r="L218" s="15">
        <v>5000</v>
      </c>
      <c r="M218" s="31">
        <v>2000</v>
      </c>
      <c r="N218" s="9"/>
      <c r="O218" s="61" t="s">
        <v>42</v>
      </c>
      <c r="X218" s="13" t="s">
        <v>172</v>
      </c>
      <c r="Y218" s="79" t="s">
        <v>358</v>
      </c>
      <c r="Z218" s="14">
        <f t="shared" si="42"/>
        <v>84.949999999999989</v>
      </c>
      <c r="AA218" s="14">
        <v>86.3</v>
      </c>
      <c r="AB218" s="14">
        <v>83.6</v>
      </c>
      <c r="AC218" s="9">
        <f>(415*6.99-1961)*2000/(3337*6.99-20000)</f>
        <v>565.21621467210696</v>
      </c>
      <c r="AD218" s="9">
        <v>512.44728829919654</v>
      </c>
      <c r="AE218" s="9">
        <v>795.07816807827498</v>
      </c>
      <c r="AF218" s="60" t="s">
        <v>118</v>
      </c>
      <c r="AG218" s="61" t="s">
        <v>42</v>
      </c>
      <c r="AQ218" s="79"/>
    </row>
    <row r="219" spans="1:43">
      <c r="A219" s="13" t="s">
        <v>143</v>
      </c>
      <c r="B219" s="61" t="s">
        <v>270</v>
      </c>
      <c r="C219" s="18">
        <f>AVERAGE(D219:E219)</f>
        <v>113.4</v>
      </c>
      <c r="D219" s="18">
        <v>126.3</v>
      </c>
      <c r="E219" s="18">
        <v>100.5</v>
      </c>
      <c r="F219" s="31">
        <f t="shared" si="36"/>
        <v>591.20000000000005</v>
      </c>
      <c r="G219" s="31">
        <f t="shared" si="37"/>
        <v>167.2</v>
      </c>
      <c r="H219" s="31">
        <f t="shared" si="38"/>
        <v>1015.2</v>
      </c>
      <c r="I219" s="15">
        <v>1478</v>
      </c>
      <c r="J219" s="15">
        <f>I219-1060</f>
        <v>418</v>
      </c>
      <c r="K219" s="15">
        <f>I219+1060</f>
        <v>2538</v>
      </c>
      <c r="L219" s="9">
        <v>5000</v>
      </c>
      <c r="M219" s="31">
        <v>2000</v>
      </c>
      <c r="N219" s="9"/>
      <c r="O219" s="61" t="s">
        <v>42</v>
      </c>
      <c r="X219" s="13" t="s">
        <v>430</v>
      </c>
      <c r="Y219" s="79" t="s">
        <v>437</v>
      </c>
      <c r="Z219" s="14">
        <f t="shared" si="42"/>
        <v>35.849999999999994</v>
      </c>
      <c r="AA219" s="14">
        <v>37.799999999999997</v>
      </c>
      <c r="AB219" s="14">
        <v>33.9</v>
      </c>
      <c r="AC219" s="9">
        <f t="shared" ref="AC219" si="43">AVERAGE(AD219:AE219)</f>
        <v>449.5</v>
      </c>
      <c r="AD219" s="9">
        <v>259</v>
      </c>
      <c r="AE219" s="9">
        <v>640</v>
      </c>
      <c r="AF219" s="60" t="s">
        <v>373</v>
      </c>
      <c r="AG219" s="61" t="s">
        <v>42</v>
      </c>
      <c r="AQ219" s="79"/>
    </row>
    <row r="220" spans="1:43">
      <c r="A220" s="13" t="s">
        <v>166</v>
      </c>
      <c r="B220" s="61" t="s">
        <v>271</v>
      </c>
      <c r="C220" s="18">
        <v>200.36259167635265</v>
      </c>
      <c r="D220" s="18"/>
      <c r="E220" s="18"/>
      <c r="F220" s="31">
        <f t="shared" si="36"/>
        <v>2496</v>
      </c>
      <c r="G220" s="31">
        <f t="shared" si="37"/>
        <v>1664.0832000000003</v>
      </c>
      <c r="H220" s="31">
        <f t="shared" si="38"/>
        <v>3327.9168</v>
      </c>
      <c r="I220" s="8">
        <v>2496</v>
      </c>
      <c r="J220" s="8">
        <v>1664.0832</v>
      </c>
      <c r="K220" s="9">
        <v>3327.9168</v>
      </c>
      <c r="L220" s="9">
        <v>3000</v>
      </c>
      <c r="M220" s="9">
        <v>3000</v>
      </c>
      <c r="N220" s="9"/>
      <c r="O220" s="61" t="s">
        <v>42</v>
      </c>
      <c r="X220" s="13" t="s">
        <v>374</v>
      </c>
      <c r="Y220" s="79" t="s">
        <v>357</v>
      </c>
      <c r="Z220" s="14">
        <f>AVERAGE(AA220:AB220)</f>
        <v>30.75</v>
      </c>
      <c r="AA220" s="14">
        <v>32</v>
      </c>
      <c r="AB220" s="14">
        <v>29.5</v>
      </c>
      <c r="AC220" s="15">
        <f>AVERAGE(AD220:AE220)</f>
        <v>671</v>
      </c>
      <c r="AD220" s="15">
        <v>503</v>
      </c>
      <c r="AE220" s="15">
        <v>839</v>
      </c>
      <c r="AF220" s="60" t="s">
        <v>373</v>
      </c>
      <c r="AG220" s="61" t="s">
        <v>42</v>
      </c>
      <c r="AQ220" s="79"/>
    </row>
    <row r="221" spans="1:43">
      <c r="A221" s="13" t="s">
        <v>166</v>
      </c>
      <c r="B221" s="61" t="s">
        <v>271</v>
      </c>
      <c r="C221" s="18">
        <v>200.47782643891074</v>
      </c>
      <c r="D221" s="18"/>
      <c r="E221" s="18"/>
      <c r="F221" s="31">
        <f t="shared" si="36"/>
        <v>3131</v>
      </c>
      <c r="G221" s="31">
        <f t="shared" si="37"/>
        <v>2087.4376999999999</v>
      </c>
      <c r="H221" s="31">
        <f t="shared" si="38"/>
        <v>4174.5622999999996</v>
      </c>
      <c r="I221" s="8">
        <v>3131</v>
      </c>
      <c r="J221" s="8">
        <v>2087.4376999999999</v>
      </c>
      <c r="K221" s="9">
        <v>4174.5622999999996</v>
      </c>
      <c r="L221" s="9">
        <v>3000</v>
      </c>
      <c r="M221" s="9">
        <v>3000</v>
      </c>
      <c r="N221" s="9"/>
      <c r="O221" s="61" t="s">
        <v>42</v>
      </c>
      <c r="X221" s="13" t="s">
        <v>431</v>
      </c>
      <c r="Y221" s="80" t="s">
        <v>429</v>
      </c>
      <c r="Z221" s="14">
        <v>27</v>
      </c>
      <c r="AA221" s="15">
        <v>27.1</v>
      </c>
      <c r="AB221" s="15">
        <v>26.3</v>
      </c>
      <c r="AC221" s="9">
        <f>AVERAGE(AD221:AE221)</f>
        <v>394.5</v>
      </c>
      <c r="AD221" s="15">
        <v>273</v>
      </c>
      <c r="AE221" s="15">
        <v>516</v>
      </c>
      <c r="AF221" s="60" t="s">
        <v>373</v>
      </c>
      <c r="AG221" s="61" t="s">
        <v>42</v>
      </c>
      <c r="AQ221" s="79"/>
    </row>
    <row r="222" spans="1:43">
      <c r="A222" s="13" t="s">
        <v>166</v>
      </c>
      <c r="B222" s="61" t="s">
        <v>271</v>
      </c>
      <c r="C222" s="18">
        <v>200.90624395464732</v>
      </c>
      <c r="D222" s="18"/>
      <c r="E222" s="18"/>
      <c r="F222" s="31">
        <f t="shared" si="36"/>
        <v>5273</v>
      </c>
      <c r="G222" s="31">
        <f t="shared" si="37"/>
        <v>3515.5091000000002</v>
      </c>
      <c r="H222" s="31">
        <f t="shared" si="38"/>
        <v>7030.4908999999998</v>
      </c>
      <c r="I222" s="8">
        <v>5273</v>
      </c>
      <c r="J222" s="8">
        <v>3515.5091000000002</v>
      </c>
      <c r="K222" s="9">
        <v>7030.4908999999998</v>
      </c>
      <c r="L222" s="9">
        <v>3000</v>
      </c>
      <c r="M222" s="9">
        <v>3000</v>
      </c>
      <c r="N222" s="9"/>
      <c r="O222" s="61" t="s">
        <v>42</v>
      </c>
      <c r="X222" s="13" t="s">
        <v>436</v>
      </c>
      <c r="Y222" s="80" t="s">
        <v>429</v>
      </c>
      <c r="Z222" s="14">
        <v>25</v>
      </c>
      <c r="AA222" s="15">
        <v>25.25</v>
      </c>
      <c r="AB222" s="15">
        <v>23</v>
      </c>
      <c r="AC222" s="15">
        <f>AVERAGE(AD222:AE222)</f>
        <v>453</v>
      </c>
      <c r="AD222" s="15">
        <v>287</v>
      </c>
      <c r="AE222" s="15">
        <v>619</v>
      </c>
      <c r="AF222" s="60" t="s">
        <v>373</v>
      </c>
      <c r="AG222" s="61" t="s">
        <v>42</v>
      </c>
      <c r="AQ222" s="79"/>
    </row>
    <row r="223" spans="1:43">
      <c r="A223" s="13" t="s">
        <v>166</v>
      </c>
      <c r="B223" s="61" t="s">
        <v>271</v>
      </c>
      <c r="C223" s="18">
        <v>200.90624395464732</v>
      </c>
      <c r="D223" s="18"/>
      <c r="E223" s="18"/>
      <c r="F223" s="31">
        <f t="shared" si="36"/>
        <v>4941</v>
      </c>
      <c r="G223" s="31">
        <f t="shared" si="37"/>
        <v>3290.1651000000002</v>
      </c>
      <c r="H223" s="31">
        <f t="shared" si="38"/>
        <v>6591.8348999999998</v>
      </c>
      <c r="I223" s="8">
        <v>4941</v>
      </c>
      <c r="J223" s="8">
        <v>3290.1651000000002</v>
      </c>
      <c r="K223" s="9">
        <v>6591.8348999999998</v>
      </c>
      <c r="L223" s="9">
        <v>3000</v>
      </c>
      <c r="M223" s="9">
        <v>3000</v>
      </c>
      <c r="N223" s="9"/>
      <c r="O223" s="61" t="s">
        <v>42</v>
      </c>
      <c r="X223" s="13" t="s">
        <v>431</v>
      </c>
      <c r="Y223" s="80" t="s">
        <v>429</v>
      </c>
      <c r="Z223" s="14">
        <v>24</v>
      </c>
      <c r="AA223" s="15">
        <v>25.25</v>
      </c>
      <c r="AB223" s="15">
        <v>23</v>
      </c>
      <c r="AC223" s="15">
        <f>AVERAGE(AD223:AE223)</f>
        <v>434</v>
      </c>
      <c r="AD223" s="15">
        <v>257</v>
      </c>
      <c r="AE223" s="15">
        <v>611</v>
      </c>
      <c r="AF223" s="60" t="s">
        <v>373</v>
      </c>
      <c r="AG223" s="61" t="s">
        <v>42</v>
      </c>
    </row>
    <row r="224" spans="1:43">
      <c r="A224" s="13" t="s">
        <v>166</v>
      </c>
      <c r="B224" s="61" t="s">
        <v>271</v>
      </c>
      <c r="C224" s="18">
        <v>200.91432461716821</v>
      </c>
      <c r="D224" s="18"/>
      <c r="E224" s="18"/>
      <c r="F224" s="31">
        <f t="shared" si="36"/>
        <v>1949</v>
      </c>
      <c r="G224" s="31">
        <f t="shared" si="37"/>
        <v>1299.3983000000001</v>
      </c>
      <c r="H224" s="31">
        <f t="shared" si="38"/>
        <v>2598.6017000000002</v>
      </c>
      <c r="I224" s="8">
        <v>1949</v>
      </c>
      <c r="J224" s="8">
        <v>1299.3983000000001</v>
      </c>
      <c r="K224" s="9">
        <v>2598.6017000000002</v>
      </c>
      <c r="L224" s="9">
        <v>3000</v>
      </c>
      <c r="M224" s="9">
        <v>3000</v>
      </c>
      <c r="N224" s="9"/>
      <c r="O224" s="61" t="s">
        <v>42</v>
      </c>
      <c r="X224" s="13" t="s">
        <v>436</v>
      </c>
      <c r="Y224" s="80" t="s">
        <v>429</v>
      </c>
      <c r="Z224" s="15">
        <v>17.399999999999999</v>
      </c>
      <c r="AA224" s="15">
        <v>17.600000000000001</v>
      </c>
      <c r="AB224" s="15">
        <v>17.2</v>
      </c>
      <c r="AC224" s="15">
        <f>AVERAGE(AD224:AE224)</f>
        <v>402</v>
      </c>
      <c r="AD224" s="15">
        <v>238</v>
      </c>
      <c r="AE224" s="15">
        <v>566</v>
      </c>
      <c r="AF224" s="60" t="s">
        <v>373</v>
      </c>
      <c r="AG224" s="61" t="s">
        <v>42</v>
      </c>
    </row>
    <row r="225" spans="1:33">
      <c r="A225" s="13" t="s">
        <v>166</v>
      </c>
      <c r="B225" s="61" t="s">
        <v>271</v>
      </c>
      <c r="C225" s="18">
        <v>201.02466761969171</v>
      </c>
      <c r="D225" s="18"/>
      <c r="E225" s="18"/>
      <c r="F225" s="31">
        <f t="shared" si="36"/>
        <v>2356</v>
      </c>
      <c r="G225" s="31">
        <f t="shared" si="37"/>
        <v>1570.7452000000003</v>
      </c>
      <c r="H225" s="31">
        <f t="shared" si="38"/>
        <v>3141.2547999999997</v>
      </c>
      <c r="I225" s="8">
        <v>2356</v>
      </c>
      <c r="J225" s="8">
        <v>1570.7452000000001</v>
      </c>
      <c r="K225" s="9">
        <v>3141.2547999999997</v>
      </c>
      <c r="L225" s="9">
        <v>3000</v>
      </c>
      <c r="M225" s="9">
        <v>3000</v>
      </c>
      <c r="N225" s="9"/>
      <c r="O225" s="61" t="s">
        <v>42</v>
      </c>
      <c r="X225" s="13"/>
      <c r="AF225" s="60"/>
      <c r="AG225" s="61" t="s">
        <v>42</v>
      </c>
    </row>
    <row r="226" spans="1:33">
      <c r="A226" s="13" t="s">
        <v>166</v>
      </c>
      <c r="B226" s="61" t="s">
        <v>271</v>
      </c>
      <c r="C226" s="28">
        <v>201.0743337923854</v>
      </c>
      <c r="D226" s="28"/>
      <c r="E226" s="28"/>
      <c r="F226" s="31">
        <f t="shared" si="36"/>
        <v>3708</v>
      </c>
      <c r="G226" s="31">
        <f t="shared" si="37"/>
        <v>2472.1235999999999</v>
      </c>
      <c r="H226" s="31">
        <f t="shared" si="38"/>
        <v>4943.8764000000001</v>
      </c>
      <c r="I226" s="22">
        <v>3708</v>
      </c>
      <c r="J226" s="22">
        <v>2472.1235999999999</v>
      </c>
      <c r="K226" s="22">
        <v>4943.8764000000001</v>
      </c>
      <c r="L226" s="9">
        <v>3000</v>
      </c>
      <c r="M226" s="9">
        <v>3000</v>
      </c>
      <c r="N226" s="9"/>
      <c r="O226" s="61" t="s">
        <v>42</v>
      </c>
      <c r="X226" s="13"/>
      <c r="AF226" s="60"/>
      <c r="AG226" s="61" t="s">
        <v>42</v>
      </c>
    </row>
    <row r="227" spans="1:33">
      <c r="A227" s="13" t="s">
        <v>166</v>
      </c>
      <c r="B227" s="61" t="s">
        <v>271</v>
      </c>
      <c r="C227" s="18">
        <v>201.11838032888863</v>
      </c>
      <c r="D227" s="18"/>
      <c r="E227" s="18"/>
      <c r="F227" s="31">
        <f t="shared" si="36"/>
        <v>2642</v>
      </c>
      <c r="G227" s="31">
        <f t="shared" si="37"/>
        <v>1761.4213999999999</v>
      </c>
      <c r="H227" s="31">
        <f t="shared" si="38"/>
        <v>3522.5785999999998</v>
      </c>
      <c r="I227" s="8">
        <v>2642</v>
      </c>
      <c r="J227" s="8">
        <v>1761.4214000000002</v>
      </c>
      <c r="K227" s="19">
        <v>3522.5785999999998</v>
      </c>
      <c r="L227" s="9">
        <v>3000</v>
      </c>
      <c r="M227" s="9">
        <v>3000</v>
      </c>
      <c r="N227" s="9"/>
      <c r="O227" s="61" t="s">
        <v>42</v>
      </c>
      <c r="X227" s="13"/>
      <c r="AF227" s="60"/>
      <c r="AG227" s="61" t="s">
        <v>42</v>
      </c>
    </row>
    <row r="228" spans="1:33">
      <c r="A228" s="13" t="s">
        <v>166</v>
      </c>
      <c r="B228" s="61" t="s">
        <v>271</v>
      </c>
      <c r="C228" s="14">
        <v>201.1629622549315</v>
      </c>
      <c r="D228" s="14"/>
      <c r="E228" s="14"/>
      <c r="F228" s="31">
        <f t="shared" si="36"/>
        <v>3460</v>
      </c>
      <c r="G228" s="31">
        <f t="shared" si="37"/>
        <v>2306.7820000000002</v>
      </c>
      <c r="H228" s="31">
        <f t="shared" si="38"/>
        <v>4613.2179999999998</v>
      </c>
      <c r="I228" s="9">
        <v>3460</v>
      </c>
      <c r="J228" s="9">
        <v>2306.7820000000002</v>
      </c>
      <c r="K228" s="9">
        <v>4613.2179999999998</v>
      </c>
      <c r="L228" s="9">
        <v>3000</v>
      </c>
      <c r="M228" s="9">
        <v>3000</v>
      </c>
      <c r="N228" s="9"/>
      <c r="O228" s="61" t="s">
        <v>42</v>
      </c>
      <c r="X228" s="13"/>
      <c r="AF228" s="60"/>
      <c r="AG228" s="61" t="s">
        <v>42</v>
      </c>
    </row>
    <row r="229" spans="1:33">
      <c r="A229" s="13" t="s">
        <v>166</v>
      </c>
      <c r="B229" s="61" t="s">
        <v>271</v>
      </c>
      <c r="C229" s="14">
        <v>201.19990608714139</v>
      </c>
      <c r="D229" s="14"/>
      <c r="E229" s="14"/>
      <c r="F229" s="31">
        <f t="shared" si="36"/>
        <v>3014</v>
      </c>
      <c r="G229" s="31">
        <f t="shared" si="37"/>
        <v>2009.4338</v>
      </c>
      <c r="H229" s="31">
        <f t="shared" si="38"/>
        <v>4018.5662000000007</v>
      </c>
      <c r="I229" s="9">
        <v>3014</v>
      </c>
      <c r="J229" s="9">
        <v>2009.4338</v>
      </c>
      <c r="K229" s="9">
        <v>4018.5662000000002</v>
      </c>
      <c r="L229" s="9">
        <v>3000</v>
      </c>
      <c r="M229" s="9">
        <v>3000</v>
      </c>
      <c r="N229" s="9"/>
      <c r="O229" s="61" t="s">
        <v>42</v>
      </c>
      <c r="X229" s="13"/>
      <c r="AF229" s="60"/>
      <c r="AG229" s="61" t="s">
        <v>42</v>
      </c>
    </row>
    <row r="230" spans="1:33">
      <c r="A230" s="13" t="s">
        <v>166</v>
      </c>
      <c r="B230" s="61" t="s">
        <v>271</v>
      </c>
      <c r="C230" s="14">
        <v>201.21159868205044</v>
      </c>
      <c r="D230" s="14"/>
      <c r="E230" s="14"/>
      <c r="F230" s="31">
        <f t="shared" si="36"/>
        <v>3657</v>
      </c>
      <c r="G230" s="31">
        <f t="shared" si="37"/>
        <v>2438.1219000000001</v>
      </c>
      <c r="H230" s="31">
        <f t="shared" si="38"/>
        <v>4875.8780999999999</v>
      </c>
      <c r="I230" s="9">
        <v>3657</v>
      </c>
      <c r="J230" s="9">
        <v>2438.1219000000001</v>
      </c>
      <c r="K230" s="9">
        <v>4875.8780999999999</v>
      </c>
      <c r="L230" s="9">
        <v>3000</v>
      </c>
      <c r="M230" s="9">
        <v>3000</v>
      </c>
      <c r="N230" s="9"/>
      <c r="O230" s="61" t="s">
        <v>42</v>
      </c>
      <c r="X230" s="13"/>
      <c r="AF230" s="60"/>
      <c r="AG230" s="61" t="s">
        <v>42</v>
      </c>
    </row>
    <row r="231" spans="1:33">
      <c r="A231" s="13" t="s">
        <v>166</v>
      </c>
      <c r="B231" s="61" t="s">
        <v>271</v>
      </c>
      <c r="C231" s="14">
        <v>201.21159868205044</v>
      </c>
      <c r="D231" s="14"/>
      <c r="E231" s="14"/>
      <c r="F231" s="31">
        <f t="shared" si="36"/>
        <v>4015</v>
      </c>
      <c r="G231" s="31">
        <f t="shared" si="37"/>
        <v>2676.8005000000003</v>
      </c>
      <c r="H231" s="31">
        <f t="shared" si="38"/>
        <v>5353.1994999999997</v>
      </c>
      <c r="I231" s="9">
        <v>4015</v>
      </c>
      <c r="J231" s="9">
        <v>2676.8005000000003</v>
      </c>
      <c r="K231" s="9">
        <v>5353.1994999999997</v>
      </c>
      <c r="L231" s="9">
        <v>3000</v>
      </c>
      <c r="M231" s="9">
        <v>3000</v>
      </c>
      <c r="N231" s="9"/>
      <c r="O231" s="61" t="s">
        <v>42</v>
      </c>
      <c r="X231" s="13"/>
      <c r="AF231" s="60"/>
      <c r="AG231" s="61" t="s">
        <v>42</v>
      </c>
    </row>
    <row r="232" spans="1:33">
      <c r="A232" s="13" t="s">
        <v>166</v>
      </c>
      <c r="B232" s="61" t="s">
        <v>271</v>
      </c>
      <c r="C232" s="14">
        <v>201.21565318312571</v>
      </c>
      <c r="D232" s="14"/>
      <c r="E232" s="14"/>
      <c r="F232" s="31">
        <f t="shared" si="36"/>
        <v>4050</v>
      </c>
      <c r="G232" s="31">
        <f t="shared" si="37"/>
        <v>2700.1350000000002</v>
      </c>
      <c r="H232" s="31">
        <f t="shared" si="38"/>
        <v>5399.8649999999998</v>
      </c>
      <c r="I232" s="9">
        <v>4050</v>
      </c>
      <c r="J232" s="9">
        <v>2700.1350000000002</v>
      </c>
      <c r="K232" s="9">
        <v>5399.8649999999998</v>
      </c>
      <c r="L232" s="9">
        <v>3000</v>
      </c>
      <c r="M232" s="9">
        <v>3000</v>
      </c>
      <c r="N232" s="9"/>
      <c r="O232" s="61" t="s">
        <v>42</v>
      </c>
      <c r="X232" s="13"/>
      <c r="AF232" s="60"/>
      <c r="AG232" s="61" t="s">
        <v>42</v>
      </c>
    </row>
    <row r="233" spans="1:33">
      <c r="A233" s="13" t="s">
        <v>166</v>
      </c>
      <c r="B233" s="61" t="s">
        <v>271</v>
      </c>
      <c r="C233" s="14">
        <v>201.22628789520002</v>
      </c>
      <c r="D233" s="14"/>
      <c r="E233" s="14"/>
      <c r="F233" s="31">
        <f t="shared" si="36"/>
        <v>4070</v>
      </c>
      <c r="G233" s="31">
        <f t="shared" si="37"/>
        <v>2713.4690000000001</v>
      </c>
      <c r="H233" s="31">
        <f t="shared" si="38"/>
        <v>5426.5309999999999</v>
      </c>
      <c r="I233" s="9">
        <v>4070</v>
      </c>
      <c r="J233" s="9">
        <v>2713.4690000000001</v>
      </c>
      <c r="K233" s="9">
        <v>5426.5309999999999</v>
      </c>
      <c r="L233" s="9">
        <v>3000</v>
      </c>
      <c r="M233" s="9">
        <v>3000</v>
      </c>
      <c r="N233" s="9"/>
      <c r="O233" s="61" t="s">
        <v>42</v>
      </c>
      <c r="X233" s="13"/>
      <c r="AF233" s="60"/>
      <c r="AG233" s="61" t="s">
        <v>42</v>
      </c>
    </row>
    <row r="234" spans="1:33">
      <c r="A234" s="13" t="s">
        <v>166</v>
      </c>
      <c r="B234" s="61" t="s">
        <v>271</v>
      </c>
      <c r="C234" s="14">
        <v>201.22628789520002</v>
      </c>
      <c r="D234" s="14"/>
      <c r="E234" s="14"/>
      <c r="F234" s="31">
        <f t="shared" si="36"/>
        <v>4234</v>
      </c>
      <c r="G234" s="31">
        <f t="shared" si="37"/>
        <v>2822.8078</v>
      </c>
      <c r="H234" s="31">
        <f t="shared" si="38"/>
        <v>5645.1921999999995</v>
      </c>
      <c r="I234" s="9">
        <v>4234</v>
      </c>
      <c r="J234" s="9">
        <v>2822.8078</v>
      </c>
      <c r="K234" s="9">
        <v>5645.1921999999995</v>
      </c>
      <c r="L234" s="9">
        <v>3000</v>
      </c>
      <c r="M234" s="9">
        <v>3000</v>
      </c>
      <c r="N234" s="9"/>
      <c r="O234" s="61" t="s">
        <v>42</v>
      </c>
      <c r="X234" s="13"/>
      <c r="AF234" s="60"/>
      <c r="AG234" s="61" t="s">
        <v>42</v>
      </c>
    </row>
    <row r="235" spans="1:33">
      <c r="A235" s="13" t="s">
        <v>166</v>
      </c>
      <c r="B235" s="61" t="s">
        <v>271</v>
      </c>
      <c r="C235" s="14">
        <v>201.25656495750681</v>
      </c>
      <c r="D235" s="14"/>
      <c r="E235" s="14"/>
      <c r="F235" s="31">
        <f t="shared" si="36"/>
        <v>3453</v>
      </c>
      <c r="G235" s="31">
        <f t="shared" si="37"/>
        <v>2302.1151</v>
      </c>
      <c r="H235" s="31">
        <f t="shared" si="38"/>
        <v>4603.8849</v>
      </c>
      <c r="I235" s="9">
        <v>3453</v>
      </c>
      <c r="J235" s="9">
        <v>2302.1151</v>
      </c>
      <c r="K235" s="9">
        <v>4603.8849</v>
      </c>
      <c r="L235" s="9">
        <v>3000</v>
      </c>
      <c r="M235" s="9">
        <v>3000</v>
      </c>
      <c r="N235" s="9"/>
      <c r="O235" s="61" t="s">
        <v>42</v>
      </c>
      <c r="X235" s="13"/>
      <c r="AF235" s="60"/>
      <c r="AG235" s="61" t="s">
        <v>42</v>
      </c>
    </row>
    <row r="236" spans="1:33">
      <c r="A236" s="13" t="s">
        <v>166</v>
      </c>
      <c r="B236" s="61" t="s">
        <v>271</v>
      </c>
      <c r="C236" s="14">
        <v>201.27754855309695</v>
      </c>
      <c r="D236" s="14"/>
      <c r="E236" s="14"/>
      <c r="F236" s="31">
        <f t="shared" si="36"/>
        <v>3577</v>
      </c>
      <c r="G236" s="31">
        <f t="shared" si="37"/>
        <v>2384.7858999999999</v>
      </c>
      <c r="H236" s="31">
        <f t="shared" si="38"/>
        <v>4769.2141000000001</v>
      </c>
      <c r="I236" s="9">
        <v>3577</v>
      </c>
      <c r="J236" s="9">
        <v>2384.7858999999999</v>
      </c>
      <c r="K236" s="9">
        <v>4769.2141000000001</v>
      </c>
      <c r="L236" s="9">
        <v>3000</v>
      </c>
      <c r="M236" s="9">
        <v>3000</v>
      </c>
      <c r="N236" s="9"/>
      <c r="O236" s="61" t="s">
        <v>42</v>
      </c>
      <c r="X236" s="13"/>
      <c r="AC236" s="9"/>
      <c r="AD236" s="9"/>
      <c r="AE236" s="9"/>
      <c r="AF236" s="60"/>
      <c r="AG236" s="61" t="s">
        <v>42</v>
      </c>
    </row>
    <row r="237" spans="1:33">
      <c r="A237" s="13" t="s">
        <v>166</v>
      </c>
      <c r="B237" s="61" t="s">
        <v>271</v>
      </c>
      <c r="C237" s="14">
        <v>201.38784625390065</v>
      </c>
      <c r="D237" s="14"/>
      <c r="E237" s="14"/>
      <c r="F237" s="31">
        <f t="shared" si="36"/>
        <v>3584</v>
      </c>
      <c r="G237" s="31">
        <f t="shared" si="37"/>
        <v>2389.4528</v>
      </c>
      <c r="H237" s="31">
        <f t="shared" si="38"/>
        <v>4778.5472</v>
      </c>
      <c r="I237" s="9">
        <v>3584</v>
      </c>
      <c r="J237" s="9">
        <v>2389.4528</v>
      </c>
      <c r="K237" s="9">
        <v>4778.5472</v>
      </c>
      <c r="L237" s="9">
        <v>3000</v>
      </c>
      <c r="M237" s="9">
        <v>3000</v>
      </c>
      <c r="N237" s="9"/>
      <c r="O237" s="61" t="s">
        <v>42</v>
      </c>
      <c r="X237" s="13"/>
      <c r="AF237" s="60"/>
      <c r="AG237" s="61" t="s">
        <v>42</v>
      </c>
    </row>
    <row r="238" spans="1:33">
      <c r="A238" s="13" t="s">
        <v>166</v>
      </c>
      <c r="B238" s="61" t="s">
        <v>271</v>
      </c>
      <c r="C238" s="14">
        <v>201.45384822676715</v>
      </c>
      <c r="D238" s="14"/>
      <c r="E238" s="14"/>
      <c r="F238" s="31">
        <f t="shared" si="36"/>
        <v>4228</v>
      </c>
      <c r="G238" s="31">
        <f t="shared" si="37"/>
        <v>2818.8076000000001</v>
      </c>
      <c r="H238" s="31">
        <f t="shared" si="38"/>
        <v>5637.1923999999999</v>
      </c>
      <c r="I238" s="9">
        <v>4228</v>
      </c>
      <c r="J238" s="9">
        <v>2818.8076000000001</v>
      </c>
      <c r="K238" s="9">
        <v>5637.1923999999999</v>
      </c>
      <c r="L238" s="9">
        <v>3000</v>
      </c>
      <c r="M238" s="9">
        <v>3000</v>
      </c>
      <c r="N238" s="9"/>
      <c r="O238" s="61" t="s">
        <v>42</v>
      </c>
      <c r="X238" s="13"/>
      <c r="AF238" s="60"/>
      <c r="AG238" s="61" t="s">
        <v>42</v>
      </c>
    </row>
    <row r="239" spans="1:33">
      <c r="A239" s="13" t="s">
        <v>166</v>
      </c>
      <c r="B239" s="61" t="s">
        <v>271</v>
      </c>
      <c r="C239" s="14">
        <v>201.48950000000002</v>
      </c>
      <c r="D239" s="14"/>
      <c r="E239" s="14"/>
      <c r="F239" s="31">
        <f t="shared" si="36"/>
        <v>4434</v>
      </c>
      <c r="G239" s="31">
        <f t="shared" si="37"/>
        <v>2956.1477999999993</v>
      </c>
      <c r="H239" s="31">
        <f t="shared" si="38"/>
        <v>5911.8522000000003</v>
      </c>
      <c r="I239" s="9">
        <v>4434</v>
      </c>
      <c r="J239" s="9">
        <v>2956.1477999999997</v>
      </c>
      <c r="K239" s="9">
        <v>5911.8522000000003</v>
      </c>
      <c r="L239" s="9">
        <v>3000</v>
      </c>
      <c r="M239" s="9">
        <v>3000</v>
      </c>
      <c r="N239" s="9"/>
      <c r="O239" s="61" t="s">
        <v>42</v>
      </c>
      <c r="X239" s="13"/>
      <c r="AF239" s="60"/>
      <c r="AG239" s="61" t="s">
        <v>42</v>
      </c>
    </row>
    <row r="240" spans="1:33">
      <c r="A240" s="13" t="s">
        <v>166</v>
      </c>
      <c r="B240" s="61" t="s">
        <v>271</v>
      </c>
      <c r="C240" s="14">
        <v>201.5091020871773</v>
      </c>
      <c r="D240" s="14"/>
      <c r="E240" s="14"/>
      <c r="F240" s="31">
        <f t="shared" si="36"/>
        <v>1065</v>
      </c>
      <c r="G240" s="31">
        <f t="shared" si="37"/>
        <v>710.03549999999996</v>
      </c>
      <c r="H240" s="31">
        <f t="shared" si="38"/>
        <v>1419.9645</v>
      </c>
      <c r="I240" s="9">
        <v>1065</v>
      </c>
      <c r="J240" s="9">
        <v>710.03549999999996</v>
      </c>
      <c r="K240" s="9">
        <v>1419.9645</v>
      </c>
      <c r="L240" s="9">
        <v>3000</v>
      </c>
      <c r="M240" s="9">
        <v>3000</v>
      </c>
      <c r="N240" s="9"/>
      <c r="O240" s="61" t="s">
        <v>42</v>
      </c>
      <c r="X240" s="13"/>
      <c r="AF240" s="60"/>
      <c r="AG240" s="61" t="s">
        <v>42</v>
      </c>
    </row>
    <row r="241" spans="1:33">
      <c r="A241" s="13" t="s">
        <v>166</v>
      </c>
      <c r="B241" s="61" t="s">
        <v>271</v>
      </c>
      <c r="C241" s="14">
        <v>201.72614282884447</v>
      </c>
      <c r="D241" s="14"/>
      <c r="E241" s="14"/>
      <c r="F241" s="31">
        <f t="shared" si="36"/>
        <v>1787</v>
      </c>
      <c r="G241" s="31">
        <f t="shared" si="37"/>
        <v>1191.3929000000001</v>
      </c>
      <c r="H241" s="31">
        <f t="shared" si="38"/>
        <v>2382.6071000000002</v>
      </c>
      <c r="I241" s="9">
        <v>1787</v>
      </c>
      <c r="J241" s="9">
        <v>1191.3929000000001</v>
      </c>
      <c r="K241" s="9">
        <v>2382.6071000000002</v>
      </c>
      <c r="L241" s="9">
        <v>3000</v>
      </c>
      <c r="M241" s="9">
        <v>3000</v>
      </c>
      <c r="N241" s="9"/>
      <c r="O241" s="61" t="s">
        <v>42</v>
      </c>
      <c r="AG241" s="61" t="s">
        <v>42</v>
      </c>
    </row>
    <row r="242" spans="1:33">
      <c r="A242" s="13" t="s">
        <v>166</v>
      </c>
      <c r="B242" s="61" t="s">
        <v>271</v>
      </c>
      <c r="C242" s="14">
        <v>201.81362213181166</v>
      </c>
      <c r="D242" s="14"/>
      <c r="E242" s="14"/>
      <c r="F242" s="31">
        <f t="shared" si="36"/>
        <v>2242</v>
      </c>
      <c r="G242" s="31">
        <f t="shared" si="37"/>
        <v>1494.7413999999997</v>
      </c>
      <c r="H242" s="31">
        <f t="shared" si="38"/>
        <v>2989.2586000000001</v>
      </c>
      <c r="I242" s="9">
        <v>2242</v>
      </c>
      <c r="J242" s="9">
        <v>1494.7413999999999</v>
      </c>
      <c r="K242" s="9">
        <v>2989.2586000000001</v>
      </c>
      <c r="L242" s="9">
        <v>3000</v>
      </c>
      <c r="M242" s="9">
        <v>3000</v>
      </c>
      <c r="N242" s="9"/>
      <c r="O242" s="61" t="s">
        <v>42</v>
      </c>
      <c r="AG242" s="61" t="s">
        <v>42</v>
      </c>
    </row>
    <row r="243" spans="1:33">
      <c r="A243" s="13" t="s">
        <v>166</v>
      </c>
      <c r="B243" s="61" t="s">
        <v>271</v>
      </c>
      <c r="C243" s="14">
        <v>201.8767453354117</v>
      </c>
      <c r="D243" s="14"/>
      <c r="E243" s="14"/>
      <c r="F243" s="31">
        <f t="shared" si="36"/>
        <v>2253</v>
      </c>
      <c r="G243" s="31">
        <f t="shared" si="37"/>
        <v>1502.0751</v>
      </c>
      <c r="H243" s="31">
        <f t="shared" si="38"/>
        <v>3003.9248999999995</v>
      </c>
      <c r="I243" s="9">
        <v>2253</v>
      </c>
      <c r="J243" s="9">
        <v>1502.0751</v>
      </c>
      <c r="K243" s="9">
        <v>3003.9249</v>
      </c>
      <c r="L243" s="9">
        <v>3000</v>
      </c>
      <c r="M243" s="9">
        <v>3000</v>
      </c>
      <c r="N243" s="9"/>
      <c r="O243" s="61" t="s">
        <v>42</v>
      </c>
      <c r="AG243" s="61" t="s">
        <v>42</v>
      </c>
    </row>
    <row r="244" spans="1:33">
      <c r="A244" s="13" t="s">
        <v>166</v>
      </c>
      <c r="B244" s="61" t="s">
        <v>271</v>
      </c>
      <c r="C244" s="14">
        <v>202.07297018116441</v>
      </c>
      <c r="D244" s="14"/>
      <c r="E244" s="14"/>
      <c r="F244" s="31">
        <f t="shared" si="36"/>
        <v>2263</v>
      </c>
      <c r="G244" s="31">
        <f t="shared" si="37"/>
        <v>1508.7420999999999</v>
      </c>
      <c r="H244" s="31">
        <f t="shared" si="38"/>
        <v>3017.2579000000005</v>
      </c>
      <c r="I244" s="9">
        <v>2263</v>
      </c>
      <c r="J244" s="9">
        <v>1508.7420999999999</v>
      </c>
      <c r="K244" s="9">
        <v>3017.2579000000001</v>
      </c>
      <c r="L244" s="9">
        <v>3000</v>
      </c>
      <c r="M244" s="9">
        <v>3000</v>
      </c>
      <c r="N244" s="9"/>
      <c r="O244" s="61" t="s">
        <v>42</v>
      </c>
      <c r="AG244" s="61" t="s">
        <v>42</v>
      </c>
    </row>
    <row r="245" spans="1:33">
      <c r="A245" s="13" t="s">
        <v>166</v>
      </c>
      <c r="B245" s="61" t="s">
        <v>271</v>
      </c>
      <c r="C245" s="14">
        <v>202.1734093808644</v>
      </c>
      <c r="D245" s="14"/>
      <c r="E245" s="14"/>
      <c r="F245" s="31">
        <f t="shared" si="36"/>
        <v>1597</v>
      </c>
      <c r="G245" s="31">
        <f t="shared" si="37"/>
        <v>1064.7199000000001</v>
      </c>
      <c r="H245" s="31">
        <f t="shared" si="38"/>
        <v>2129.2800999999999</v>
      </c>
      <c r="I245" s="9">
        <v>1597</v>
      </c>
      <c r="J245" s="9">
        <v>1064.7199000000001</v>
      </c>
      <c r="K245" s="9">
        <v>2129.2800999999999</v>
      </c>
      <c r="L245" s="9">
        <v>3000</v>
      </c>
      <c r="M245" s="9">
        <v>3000</v>
      </c>
      <c r="N245" s="9"/>
      <c r="O245" s="61" t="s">
        <v>42</v>
      </c>
      <c r="AG245" s="61" t="s">
        <v>42</v>
      </c>
    </row>
    <row r="246" spans="1:33">
      <c r="A246" s="13" t="s">
        <v>166</v>
      </c>
      <c r="B246" s="61" t="s">
        <v>271</v>
      </c>
      <c r="C246" s="14">
        <v>202.51029163868185</v>
      </c>
      <c r="D246" s="14"/>
      <c r="E246" s="14"/>
      <c r="F246" s="31">
        <f t="shared" si="36"/>
        <v>2419</v>
      </c>
      <c r="G246" s="31">
        <f t="shared" si="37"/>
        <v>1612.7473000000002</v>
      </c>
      <c r="H246" s="31">
        <f t="shared" si="38"/>
        <v>3225.2527</v>
      </c>
      <c r="I246" s="9">
        <v>2419</v>
      </c>
      <c r="J246" s="9">
        <v>1612.7473</v>
      </c>
      <c r="K246" s="9">
        <v>3225.2527</v>
      </c>
      <c r="L246" s="9">
        <v>3000</v>
      </c>
      <c r="M246" s="9">
        <v>3000</v>
      </c>
      <c r="N246" s="9"/>
      <c r="O246" s="61" t="s">
        <v>42</v>
      </c>
      <c r="AG246" s="61" t="s">
        <v>42</v>
      </c>
    </row>
    <row r="247" spans="1:33">
      <c r="A247" s="13" t="s">
        <v>166</v>
      </c>
      <c r="B247" s="61" t="s">
        <v>271</v>
      </c>
      <c r="C247" s="14">
        <v>202.95416810188314</v>
      </c>
      <c r="D247" s="14"/>
      <c r="E247" s="14"/>
      <c r="F247" s="31">
        <f t="shared" si="36"/>
        <v>2231</v>
      </c>
      <c r="G247" s="31">
        <f t="shared" si="37"/>
        <v>1487.4077</v>
      </c>
      <c r="H247" s="31">
        <f t="shared" si="38"/>
        <v>2974.5923000000003</v>
      </c>
      <c r="I247" s="9">
        <v>2231</v>
      </c>
      <c r="J247" s="9">
        <v>1487.4077</v>
      </c>
      <c r="K247" s="9">
        <v>2974.5923000000003</v>
      </c>
      <c r="L247" s="9">
        <v>3000</v>
      </c>
      <c r="M247" s="9">
        <v>3000</v>
      </c>
      <c r="N247" s="9"/>
      <c r="O247" s="61" t="s">
        <v>42</v>
      </c>
      <c r="AG247" s="61" t="s">
        <v>42</v>
      </c>
    </row>
    <row r="248" spans="1:33">
      <c r="A248" s="13" t="s">
        <v>166</v>
      </c>
      <c r="B248" s="61" t="s">
        <v>271</v>
      </c>
      <c r="C248" s="14">
        <v>203.09348699179645</v>
      </c>
      <c r="D248" s="14"/>
      <c r="E248" s="14"/>
      <c r="F248" s="31">
        <f t="shared" si="36"/>
        <v>1947</v>
      </c>
      <c r="G248" s="31">
        <f t="shared" si="37"/>
        <v>1298.0649000000001</v>
      </c>
      <c r="H248" s="31">
        <f t="shared" si="38"/>
        <v>2595.9350999999997</v>
      </c>
      <c r="I248" s="9">
        <v>1947</v>
      </c>
      <c r="J248" s="9">
        <v>1298.0649000000001</v>
      </c>
      <c r="K248" s="9">
        <v>2595.9350999999997</v>
      </c>
      <c r="L248" s="9">
        <v>3000</v>
      </c>
      <c r="M248" s="9">
        <v>3000</v>
      </c>
      <c r="N248" s="9"/>
      <c r="O248" s="61" t="s">
        <v>42</v>
      </c>
      <c r="AG248" s="61" t="s">
        <v>42</v>
      </c>
    </row>
    <row r="249" spans="1:33">
      <c r="A249" s="13" t="s">
        <v>166</v>
      </c>
      <c r="B249" s="61" t="s">
        <v>271</v>
      </c>
      <c r="C249" s="14">
        <v>203.57182727305965</v>
      </c>
      <c r="D249" s="14"/>
      <c r="E249" s="14"/>
      <c r="F249" s="31">
        <f t="shared" si="36"/>
        <v>1532</v>
      </c>
      <c r="G249" s="31">
        <f t="shared" si="37"/>
        <v>1021.3844</v>
      </c>
      <c r="H249" s="31">
        <f t="shared" si="38"/>
        <v>2042.6155999999999</v>
      </c>
      <c r="I249" s="9">
        <v>1532</v>
      </c>
      <c r="J249" s="9">
        <v>1021.3844</v>
      </c>
      <c r="K249" s="9">
        <v>2042.6156000000001</v>
      </c>
      <c r="L249" s="9">
        <v>3000</v>
      </c>
      <c r="M249" s="9">
        <v>3000</v>
      </c>
      <c r="N249" s="9"/>
      <c r="O249" s="61" t="s">
        <v>42</v>
      </c>
      <c r="AG249" s="61" t="s">
        <v>42</v>
      </c>
    </row>
    <row r="250" spans="1:33">
      <c r="A250" s="13" t="s">
        <v>166</v>
      </c>
      <c r="B250" s="61" t="s">
        <v>271</v>
      </c>
      <c r="C250" s="14">
        <v>203.7123220609364</v>
      </c>
      <c r="D250" s="14"/>
      <c r="E250" s="14"/>
      <c r="F250" s="31">
        <f t="shared" si="36"/>
        <v>2782</v>
      </c>
      <c r="G250" s="31">
        <f t="shared" si="37"/>
        <v>1854.7594000000001</v>
      </c>
      <c r="H250" s="31">
        <f t="shared" si="38"/>
        <v>3709.2406000000001</v>
      </c>
      <c r="I250" s="9">
        <v>2782</v>
      </c>
      <c r="J250" s="9">
        <v>1854.7593999999999</v>
      </c>
      <c r="K250" s="9">
        <v>3709.2406000000001</v>
      </c>
      <c r="L250" s="9">
        <v>3000</v>
      </c>
      <c r="M250" s="9">
        <v>3000</v>
      </c>
      <c r="N250" s="9"/>
      <c r="O250" s="61" t="s">
        <v>42</v>
      </c>
      <c r="AG250" s="61" t="s">
        <v>42</v>
      </c>
    </row>
    <row r="251" spans="1:33">
      <c r="A251" s="13" t="s">
        <v>166</v>
      </c>
      <c r="B251" s="61" t="s">
        <v>271</v>
      </c>
      <c r="C251" s="14">
        <v>203.94560020217907</v>
      </c>
      <c r="D251" s="14"/>
      <c r="E251" s="14"/>
      <c r="F251" s="31">
        <f t="shared" si="36"/>
        <v>1475</v>
      </c>
      <c r="G251" s="31">
        <f t="shared" si="37"/>
        <v>983.38250000000005</v>
      </c>
      <c r="H251" s="31">
        <f t="shared" si="38"/>
        <v>1966.6175000000001</v>
      </c>
      <c r="I251" s="9">
        <v>1475</v>
      </c>
      <c r="J251" s="9">
        <v>983.38250000000005</v>
      </c>
      <c r="K251" s="9">
        <v>1966.6175000000001</v>
      </c>
      <c r="L251" s="9">
        <v>3000</v>
      </c>
      <c r="M251" s="9">
        <v>3000</v>
      </c>
      <c r="N251" s="9"/>
      <c r="O251" s="61" t="s">
        <v>42</v>
      </c>
      <c r="AG251" s="61" t="s">
        <v>42</v>
      </c>
    </row>
    <row r="252" spans="1:33">
      <c r="A252" s="13" t="s">
        <v>449</v>
      </c>
      <c r="B252" s="61" t="s">
        <v>450</v>
      </c>
      <c r="C252" s="14">
        <v>211.9</v>
      </c>
      <c r="D252" s="14"/>
      <c r="E252" s="14"/>
      <c r="F252" s="31">
        <f t="shared" si="36"/>
        <v>1775</v>
      </c>
      <c r="G252" s="31">
        <f t="shared" ref="G252:G288" si="44">J252*$M252/$L252</f>
        <v>1183</v>
      </c>
      <c r="H252" s="31">
        <f t="shared" ref="H252:H288" si="45">K252*$M252/$L252</f>
        <v>2367</v>
      </c>
      <c r="I252" s="9">
        <v>1775</v>
      </c>
      <c r="J252" s="9">
        <f>I252-592</f>
        <v>1183</v>
      </c>
      <c r="K252" s="9">
        <f>I252+592</f>
        <v>2367</v>
      </c>
      <c r="L252" s="9">
        <v>3000</v>
      </c>
      <c r="M252" s="9">
        <v>3000</v>
      </c>
      <c r="N252" s="9"/>
      <c r="O252" s="61"/>
      <c r="AG252" s="61" t="s">
        <v>42</v>
      </c>
    </row>
    <row r="253" spans="1:33">
      <c r="A253" s="13" t="s">
        <v>449</v>
      </c>
      <c r="B253" s="61" t="s">
        <v>450</v>
      </c>
      <c r="C253" s="14">
        <v>211.9</v>
      </c>
      <c r="D253" s="14"/>
      <c r="E253" s="14"/>
      <c r="F253" s="31">
        <f t="shared" si="36"/>
        <v>1703</v>
      </c>
      <c r="G253" s="31">
        <f t="shared" si="44"/>
        <v>1135</v>
      </c>
      <c r="H253" s="31">
        <f t="shared" si="45"/>
        <v>2271</v>
      </c>
      <c r="I253" s="9">
        <v>1703</v>
      </c>
      <c r="J253" s="9">
        <f>I253-568</f>
        <v>1135</v>
      </c>
      <c r="K253" s="9">
        <f>I253+568</f>
        <v>2271</v>
      </c>
      <c r="L253" s="9">
        <v>3000</v>
      </c>
      <c r="M253" s="9">
        <v>3000</v>
      </c>
      <c r="N253" s="9"/>
      <c r="O253" s="61"/>
      <c r="AG253" s="61" t="s">
        <v>42</v>
      </c>
    </row>
    <row r="254" spans="1:33">
      <c r="A254" s="13" t="s">
        <v>449</v>
      </c>
      <c r="B254" s="61" t="s">
        <v>450</v>
      </c>
      <c r="C254" s="14">
        <v>211.9</v>
      </c>
      <c r="D254" s="14"/>
      <c r="E254" s="14"/>
      <c r="F254" s="31">
        <f t="shared" si="36"/>
        <v>2218</v>
      </c>
      <c r="G254" s="31">
        <f t="shared" si="44"/>
        <v>1479</v>
      </c>
      <c r="H254" s="31">
        <f t="shared" si="45"/>
        <v>2957</v>
      </c>
      <c r="I254" s="9">
        <v>2218</v>
      </c>
      <c r="J254" s="9">
        <f>I254-739</f>
        <v>1479</v>
      </c>
      <c r="K254" s="9">
        <f>I254+739</f>
        <v>2957</v>
      </c>
      <c r="L254" s="9">
        <v>3000</v>
      </c>
      <c r="M254" s="9">
        <v>3000</v>
      </c>
      <c r="N254" s="9"/>
      <c r="O254" s="61"/>
      <c r="AG254" s="61" t="s">
        <v>42</v>
      </c>
    </row>
    <row r="255" spans="1:33">
      <c r="A255" s="13" t="s">
        <v>449</v>
      </c>
      <c r="B255" s="61" t="s">
        <v>450</v>
      </c>
      <c r="C255" s="14">
        <v>211.9</v>
      </c>
      <c r="D255" s="14"/>
      <c r="E255" s="14"/>
      <c r="F255" s="31">
        <f t="shared" si="36"/>
        <v>2064</v>
      </c>
      <c r="G255" s="31">
        <f t="shared" si="44"/>
        <v>1376</v>
      </c>
      <c r="H255" s="31">
        <f t="shared" si="45"/>
        <v>2752</v>
      </c>
      <c r="I255" s="9">
        <v>2064</v>
      </c>
      <c r="J255" s="9">
        <f>I255-688</f>
        <v>1376</v>
      </c>
      <c r="K255" s="9">
        <f>I255+688</f>
        <v>2752</v>
      </c>
      <c r="L255" s="9">
        <v>3000</v>
      </c>
      <c r="M255" s="9">
        <v>3000</v>
      </c>
      <c r="N255" s="9"/>
      <c r="O255" s="61"/>
      <c r="AG255" s="61" t="s">
        <v>42</v>
      </c>
    </row>
    <row r="256" spans="1:33">
      <c r="A256" s="13" t="s">
        <v>449</v>
      </c>
      <c r="B256" s="61" t="s">
        <v>450</v>
      </c>
      <c r="C256" s="14">
        <v>205</v>
      </c>
      <c r="D256" s="14"/>
      <c r="E256" s="14"/>
      <c r="F256" s="31">
        <f t="shared" si="36"/>
        <v>2065</v>
      </c>
      <c r="G256" s="31">
        <f t="shared" si="44"/>
        <v>1377</v>
      </c>
      <c r="H256" s="31">
        <f t="shared" si="45"/>
        <v>2753</v>
      </c>
      <c r="I256" s="9">
        <v>2065</v>
      </c>
      <c r="J256" s="9">
        <f>I256-688</f>
        <v>1377</v>
      </c>
      <c r="K256" s="9">
        <f>I256+688</f>
        <v>2753</v>
      </c>
      <c r="L256" s="9">
        <v>3000</v>
      </c>
      <c r="M256" s="9">
        <v>3000</v>
      </c>
      <c r="N256" s="9"/>
      <c r="O256" s="61"/>
      <c r="AG256" s="61" t="s">
        <v>42</v>
      </c>
    </row>
    <row r="257" spans="1:33">
      <c r="A257" s="13" t="s">
        <v>449</v>
      </c>
      <c r="B257" s="61" t="s">
        <v>450</v>
      </c>
      <c r="C257" s="14">
        <v>201.26</v>
      </c>
      <c r="D257" s="14"/>
      <c r="E257" s="14"/>
      <c r="F257" s="31">
        <f t="shared" si="36"/>
        <v>5186</v>
      </c>
      <c r="G257" s="31">
        <f t="shared" si="44"/>
        <v>3413</v>
      </c>
      <c r="H257" s="31">
        <f t="shared" si="45"/>
        <v>6959</v>
      </c>
      <c r="I257" s="9">
        <v>5186</v>
      </c>
      <c r="J257" s="9">
        <f>I257-1773</f>
        <v>3413</v>
      </c>
      <c r="K257" s="9">
        <f>I257+1773</f>
        <v>6959</v>
      </c>
      <c r="L257" s="9">
        <v>3000</v>
      </c>
      <c r="M257" s="9">
        <v>3000</v>
      </c>
      <c r="N257" s="9"/>
      <c r="O257" s="61"/>
      <c r="AG257" s="61" t="s">
        <v>42</v>
      </c>
    </row>
    <row r="258" spans="1:33">
      <c r="A258" s="13" t="s">
        <v>449</v>
      </c>
      <c r="B258" s="61" t="s">
        <v>450</v>
      </c>
      <c r="C258" s="14">
        <v>201.18</v>
      </c>
      <c r="D258" s="14"/>
      <c r="E258" s="14"/>
      <c r="F258" s="31">
        <f t="shared" si="36"/>
        <v>3074</v>
      </c>
      <c r="G258" s="31">
        <f t="shared" si="44"/>
        <v>2049</v>
      </c>
      <c r="H258" s="31">
        <f t="shared" si="45"/>
        <v>4099</v>
      </c>
      <c r="I258" s="9">
        <v>3074</v>
      </c>
      <c r="J258" s="9">
        <f>I258-1025</f>
        <v>2049</v>
      </c>
      <c r="K258" s="9">
        <f>I258+1025</f>
        <v>4099</v>
      </c>
      <c r="L258" s="9">
        <v>3000</v>
      </c>
      <c r="M258" s="9">
        <v>3000</v>
      </c>
      <c r="N258" s="9"/>
      <c r="O258" s="61"/>
      <c r="AG258" s="61" t="s">
        <v>42</v>
      </c>
    </row>
    <row r="259" spans="1:33">
      <c r="A259" s="13" t="s">
        <v>449</v>
      </c>
      <c r="B259" s="61" t="s">
        <v>450</v>
      </c>
      <c r="C259" s="14">
        <v>200.84</v>
      </c>
      <c r="D259" s="14"/>
      <c r="E259" s="14"/>
      <c r="F259" s="31">
        <f t="shared" si="36"/>
        <v>2249</v>
      </c>
      <c r="G259" s="31">
        <f t="shared" si="44"/>
        <v>1503</v>
      </c>
      <c r="H259" s="31">
        <f t="shared" si="45"/>
        <v>2995</v>
      </c>
      <c r="I259" s="9">
        <v>2249</v>
      </c>
      <c r="J259" s="9">
        <f>I259-746</f>
        <v>1503</v>
      </c>
      <c r="K259" s="9">
        <f>I259+746</f>
        <v>2995</v>
      </c>
      <c r="L259" s="9">
        <v>3000</v>
      </c>
      <c r="M259" s="9">
        <v>3000</v>
      </c>
      <c r="N259" s="9"/>
      <c r="O259" s="61"/>
      <c r="AG259" s="61" t="s">
        <v>42</v>
      </c>
    </row>
    <row r="260" spans="1:33">
      <c r="A260" s="13" t="s">
        <v>449</v>
      </c>
      <c r="B260" s="61" t="s">
        <v>450</v>
      </c>
      <c r="C260" s="14">
        <v>200.78</v>
      </c>
      <c r="D260" s="14"/>
      <c r="E260" s="14"/>
      <c r="F260" s="31">
        <f t="shared" si="36"/>
        <v>5473</v>
      </c>
      <c r="G260" s="31">
        <f t="shared" si="44"/>
        <v>3649</v>
      </c>
      <c r="H260" s="31">
        <f t="shared" si="45"/>
        <v>7297</v>
      </c>
      <c r="I260" s="9">
        <v>5473</v>
      </c>
      <c r="J260" s="9">
        <f>I260-1824</f>
        <v>3649</v>
      </c>
      <c r="K260" s="9">
        <f>I260+1824</f>
        <v>7297</v>
      </c>
      <c r="L260" s="9">
        <v>3000</v>
      </c>
      <c r="M260" s="9">
        <v>3000</v>
      </c>
      <c r="N260" s="9"/>
      <c r="O260" s="61"/>
      <c r="AG260" s="61" t="s">
        <v>42</v>
      </c>
    </row>
    <row r="261" spans="1:33">
      <c r="A261" s="13" t="s">
        <v>449</v>
      </c>
      <c r="B261" s="61" t="s">
        <v>450</v>
      </c>
      <c r="C261" s="14">
        <v>200.78</v>
      </c>
      <c r="D261" s="14"/>
      <c r="E261" s="14"/>
      <c r="F261" s="31">
        <f t="shared" si="36"/>
        <v>2980</v>
      </c>
      <c r="G261" s="31">
        <f t="shared" si="44"/>
        <v>1987</v>
      </c>
      <c r="H261" s="31">
        <f t="shared" si="45"/>
        <v>3973</v>
      </c>
      <c r="I261" s="9">
        <v>2980</v>
      </c>
      <c r="J261" s="9">
        <f>I261-993</f>
        <v>1987</v>
      </c>
      <c r="K261" s="9">
        <f>I261+993</f>
        <v>3973</v>
      </c>
      <c r="L261" s="9">
        <v>3000</v>
      </c>
      <c r="M261" s="9">
        <v>3000</v>
      </c>
      <c r="N261" s="9"/>
      <c r="O261" s="61"/>
      <c r="AG261" s="61" t="s">
        <v>42</v>
      </c>
    </row>
    <row r="262" spans="1:33">
      <c r="A262" s="13" t="s">
        <v>449</v>
      </c>
      <c r="B262" s="61" t="s">
        <v>450</v>
      </c>
      <c r="C262" s="14">
        <v>200.77</v>
      </c>
      <c r="D262" s="14"/>
      <c r="E262" s="14"/>
      <c r="F262" s="31">
        <f t="shared" si="36"/>
        <v>3530</v>
      </c>
      <c r="G262" s="31">
        <f t="shared" si="44"/>
        <v>2353</v>
      </c>
      <c r="H262" s="31">
        <f t="shared" si="45"/>
        <v>4707</v>
      </c>
      <c r="I262" s="9">
        <v>3530</v>
      </c>
      <c r="J262" s="9">
        <f>I262-1177</f>
        <v>2353</v>
      </c>
      <c r="K262" s="9">
        <f>I262+1177</f>
        <v>4707</v>
      </c>
      <c r="L262" s="9">
        <v>3000</v>
      </c>
      <c r="M262" s="9">
        <v>3000</v>
      </c>
      <c r="N262" s="9"/>
      <c r="O262" s="61"/>
      <c r="AG262" s="61" t="s">
        <v>42</v>
      </c>
    </row>
    <row r="263" spans="1:33">
      <c r="A263" s="13" t="s">
        <v>449</v>
      </c>
      <c r="B263" s="61" t="s">
        <v>450</v>
      </c>
      <c r="C263" s="14">
        <v>200.77</v>
      </c>
      <c r="D263" s="14"/>
      <c r="E263" s="14"/>
      <c r="F263" s="31">
        <f t="shared" si="36"/>
        <v>4391</v>
      </c>
      <c r="G263" s="31">
        <f t="shared" si="44"/>
        <v>2927</v>
      </c>
      <c r="H263" s="31">
        <f t="shared" si="45"/>
        <v>5855</v>
      </c>
      <c r="I263" s="9">
        <v>4391</v>
      </c>
      <c r="J263" s="9">
        <f>I263-1464</f>
        <v>2927</v>
      </c>
      <c r="K263" s="9">
        <f>I263+1464</f>
        <v>5855</v>
      </c>
      <c r="L263" s="9">
        <v>3000</v>
      </c>
      <c r="M263" s="9">
        <v>3000</v>
      </c>
      <c r="N263" s="9"/>
      <c r="O263" s="61"/>
      <c r="AG263" s="61" t="s">
        <v>42</v>
      </c>
    </row>
    <row r="264" spans="1:33">
      <c r="A264" s="13" t="s">
        <v>449</v>
      </c>
      <c r="B264" s="61" t="s">
        <v>450</v>
      </c>
      <c r="C264" s="14">
        <v>200.75</v>
      </c>
      <c r="D264" s="14"/>
      <c r="E264" s="14"/>
      <c r="F264" s="31">
        <f t="shared" si="36"/>
        <v>4518</v>
      </c>
      <c r="G264" s="31">
        <f t="shared" si="44"/>
        <v>3012</v>
      </c>
      <c r="H264" s="31">
        <f t="shared" si="45"/>
        <v>6024</v>
      </c>
      <c r="I264" s="9">
        <v>4518</v>
      </c>
      <c r="J264" s="9">
        <f>I264-1506</f>
        <v>3012</v>
      </c>
      <c r="K264" s="9">
        <f>I264+1506</f>
        <v>6024</v>
      </c>
      <c r="L264" s="9">
        <v>3000</v>
      </c>
      <c r="M264" s="9">
        <v>3000</v>
      </c>
      <c r="N264" s="9"/>
      <c r="O264" s="61"/>
      <c r="AG264" s="61" t="s">
        <v>42</v>
      </c>
    </row>
    <row r="265" spans="1:33">
      <c r="A265" s="13" t="s">
        <v>449</v>
      </c>
      <c r="B265" s="61" t="s">
        <v>450</v>
      </c>
      <c r="C265" s="14">
        <v>200.73</v>
      </c>
      <c r="D265" s="14"/>
      <c r="E265" s="14"/>
      <c r="F265" s="31">
        <f t="shared" si="36"/>
        <v>3574</v>
      </c>
      <c r="G265" s="31">
        <f t="shared" si="44"/>
        <v>2383</v>
      </c>
      <c r="H265" s="31">
        <f t="shared" si="45"/>
        <v>4765</v>
      </c>
      <c r="I265" s="9">
        <v>3574</v>
      </c>
      <c r="J265" s="9">
        <f>I265-1191</f>
        <v>2383</v>
      </c>
      <c r="K265" s="9">
        <f>I265+1191</f>
        <v>4765</v>
      </c>
      <c r="L265" s="9">
        <v>3000</v>
      </c>
      <c r="M265" s="9">
        <v>3000</v>
      </c>
      <c r="N265" s="9"/>
      <c r="O265" s="61"/>
      <c r="AG265" s="61" t="s">
        <v>42</v>
      </c>
    </row>
    <row r="266" spans="1:33">
      <c r="A266" s="13" t="s">
        <v>449</v>
      </c>
      <c r="B266" s="61" t="s">
        <v>450</v>
      </c>
      <c r="C266" s="14">
        <v>200.71</v>
      </c>
      <c r="D266" s="14"/>
      <c r="E266" s="14"/>
      <c r="F266" s="31">
        <f t="shared" si="36"/>
        <v>2727</v>
      </c>
      <c r="G266" s="31">
        <f t="shared" si="44"/>
        <v>1818</v>
      </c>
      <c r="H266" s="31">
        <f t="shared" si="45"/>
        <v>3636</v>
      </c>
      <c r="I266" s="9">
        <v>2727</v>
      </c>
      <c r="J266" s="9">
        <f>I266-909</f>
        <v>1818</v>
      </c>
      <c r="K266" s="9">
        <f>I266+909</f>
        <v>3636</v>
      </c>
      <c r="L266" s="9">
        <v>3000</v>
      </c>
      <c r="M266" s="9">
        <v>3000</v>
      </c>
      <c r="N266" s="9"/>
      <c r="O266" s="61"/>
      <c r="AG266" s="61" t="s">
        <v>42</v>
      </c>
    </row>
    <row r="267" spans="1:33">
      <c r="A267" s="13" t="s">
        <v>449</v>
      </c>
      <c r="B267" s="61" t="s">
        <v>450</v>
      </c>
      <c r="C267" s="14">
        <v>200.69</v>
      </c>
      <c r="D267" s="14"/>
      <c r="E267" s="14"/>
      <c r="F267" s="31">
        <f t="shared" si="36"/>
        <v>3019</v>
      </c>
      <c r="G267" s="31">
        <f t="shared" si="44"/>
        <v>2013</v>
      </c>
      <c r="H267" s="31">
        <f t="shared" si="45"/>
        <v>4025</v>
      </c>
      <c r="I267" s="9">
        <v>3019</v>
      </c>
      <c r="J267" s="9">
        <f>I267-1006</f>
        <v>2013</v>
      </c>
      <c r="K267" s="9">
        <f>I267+1006</f>
        <v>4025</v>
      </c>
      <c r="L267" s="9">
        <v>3000</v>
      </c>
      <c r="M267" s="9">
        <v>3000</v>
      </c>
      <c r="N267" s="9"/>
      <c r="O267" s="61"/>
    </row>
    <row r="268" spans="1:33">
      <c r="A268" s="13" t="s">
        <v>449</v>
      </c>
      <c r="B268" s="61" t="s">
        <v>450</v>
      </c>
      <c r="C268" s="14">
        <v>200.68</v>
      </c>
      <c r="D268" s="14"/>
      <c r="E268" s="14"/>
      <c r="F268" s="31">
        <f t="shared" si="36"/>
        <v>2811</v>
      </c>
      <c r="G268" s="31">
        <f t="shared" si="44"/>
        <v>1874</v>
      </c>
      <c r="H268" s="31">
        <f t="shared" si="45"/>
        <v>3748</v>
      </c>
      <c r="I268" s="9">
        <v>2811</v>
      </c>
      <c r="J268" s="9">
        <f>I268-937</f>
        <v>1874</v>
      </c>
      <c r="K268" s="9">
        <f>I268+937</f>
        <v>3748</v>
      </c>
      <c r="L268" s="9">
        <v>3000</v>
      </c>
      <c r="M268" s="9">
        <v>3000</v>
      </c>
      <c r="N268" s="9"/>
      <c r="O268" s="61"/>
    </row>
    <row r="269" spans="1:33">
      <c r="A269" s="13" t="s">
        <v>449</v>
      </c>
      <c r="B269" s="61" t="s">
        <v>450</v>
      </c>
      <c r="C269" s="14">
        <v>200.66</v>
      </c>
      <c r="D269" s="14"/>
      <c r="E269" s="14"/>
      <c r="F269" s="31">
        <f t="shared" si="36"/>
        <v>3455</v>
      </c>
      <c r="G269" s="31">
        <f t="shared" si="44"/>
        <v>2303</v>
      </c>
      <c r="H269" s="31">
        <f t="shared" si="45"/>
        <v>4607</v>
      </c>
      <c r="I269" s="9">
        <v>3455</v>
      </c>
      <c r="J269" s="9">
        <f>I269-1152</f>
        <v>2303</v>
      </c>
      <c r="K269" s="9">
        <f>I269+1152</f>
        <v>4607</v>
      </c>
      <c r="L269" s="9">
        <v>3000</v>
      </c>
      <c r="M269" s="9">
        <v>3000</v>
      </c>
      <c r="N269" s="9"/>
      <c r="O269" s="61"/>
    </row>
    <row r="270" spans="1:33">
      <c r="A270" s="13" t="s">
        <v>449</v>
      </c>
      <c r="B270" s="61" t="s">
        <v>450</v>
      </c>
      <c r="C270" s="14">
        <v>200.65</v>
      </c>
      <c r="D270" s="14"/>
      <c r="E270" s="14"/>
      <c r="F270" s="31">
        <f t="shared" si="36"/>
        <v>2988</v>
      </c>
      <c r="G270" s="31">
        <f t="shared" si="44"/>
        <v>1992</v>
      </c>
      <c r="H270" s="31">
        <f t="shared" si="45"/>
        <v>3984</v>
      </c>
      <c r="I270" s="9">
        <v>2988</v>
      </c>
      <c r="J270" s="9">
        <f>I270-996</f>
        <v>1992</v>
      </c>
      <c r="K270" s="9">
        <f>I270+996</f>
        <v>3984</v>
      </c>
      <c r="L270" s="9">
        <v>3000</v>
      </c>
      <c r="M270" s="9">
        <v>3000</v>
      </c>
      <c r="N270" s="9"/>
      <c r="O270" s="61"/>
    </row>
    <row r="271" spans="1:33">
      <c r="A271" s="13" t="s">
        <v>449</v>
      </c>
      <c r="B271" s="61" t="s">
        <v>450</v>
      </c>
      <c r="C271" s="14">
        <v>200.63</v>
      </c>
      <c r="D271" s="14"/>
      <c r="E271" s="14"/>
      <c r="F271" s="31">
        <f t="shared" si="36"/>
        <v>3072</v>
      </c>
      <c r="G271" s="31">
        <f t="shared" si="44"/>
        <v>2048</v>
      </c>
      <c r="H271" s="31">
        <f t="shared" si="45"/>
        <v>3072</v>
      </c>
      <c r="I271" s="9">
        <v>3072</v>
      </c>
      <c r="J271" s="9">
        <f>I271-1024</f>
        <v>2048</v>
      </c>
      <c r="K271" s="9">
        <f>J271+1024</f>
        <v>3072</v>
      </c>
      <c r="L271" s="9">
        <v>3000</v>
      </c>
      <c r="M271" s="9">
        <v>3000</v>
      </c>
      <c r="N271" s="9"/>
      <c r="O271" s="61"/>
    </row>
    <row r="272" spans="1:33">
      <c r="A272" s="13" t="s">
        <v>449</v>
      </c>
      <c r="B272" s="61" t="s">
        <v>450</v>
      </c>
      <c r="C272" s="14">
        <v>200.63</v>
      </c>
      <c r="D272" s="14"/>
      <c r="E272" s="14"/>
      <c r="F272" s="31">
        <f t="shared" si="36"/>
        <v>2317</v>
      </c>
      <c r="G272" s="31">
        <f t="shared" si="44"/>
        <v>1545</v>
      </c>
      <c r="H272" s="31">
        <f t="shared" si="45"/>
        <v>3089</v>
      </c>
      <c r="I272" s="9">
        <v>2317</v>
      </c>
      <c r="J272" s="9">
        <f>I272-772</f>
        <v>1545</v>
      </c>
      <c r="K272" s="9">
        <f>I272+772</f>
        <v>3089</v>
      </c>
      <c r="L272" s="9">
        <v>3000</v>
      </c>
      <c r="M272" s="9">
        <v>3000</v>
      </c>
      <c r="N272" s="9"/>
      <c r="O272" s="61"/>
    </row>
    <row r="273" spans="1:15">
      <c r="A273" s="13" t="s">
        <v>449</v>
      </c>
      <c r="B273" s="61" t="s">
        <v>450</v>
      </c>
      <c r="C273" s="14">
        <v>200.63</v>
      </c>
      <c r="D273" s="14"/>
      <c r="E273" s="14"/>
      <c r="F273" s="31">
        <f t="shared" si="36"/>
        <v>3280</v>
      </c>
      <c r="G273" s="31">
        <f t="shared" si="44"/>
        <v>2187</v>
      </c>
      <c r="H273" s="31">
        <f t="shared" si="45"/>
        <v>4373</v>
      </c>
      <c r="I273" s="9">
        <v>3280</v>
      </c>
      <c r="J273" s="9">
        <f>I273-1093</f>
        <v>2187</v>
      </c>
      <c r="K273" s="9">
        <f>I273+1093</f>
        <v>4373</v>
      </c>
      <c r="L273" s="9">
        <v>3000</v>
      </c>
      <c r="M273" s="9">
        <v>3000</v>
      </c>
      <c r="N273" s="9"/>
      <c r="O273" s="61"/>
    </row>
    <row r="274" spans="1:15">
      <c r="A274" s="13" t="s">
        <v>449</v>
      </c>
      <c r="B274" s="61" t="s">
        <v>450</v>
      </c>
      <c r="C274" s="14">
        <v>200.58</v>
      </c>
      <c r="D274" s="14"/>
      <c r="E274" s="14"/>
      <c r="F274" s="31">
        <f t="shared" si="36"/>
        <v>2204</v>
      </c>
      <c r="G274" s="31">
        <f t="shared" si="44"/>
        <v>1469</v>
      </c>
      <c r="H274" s="31">
        <f t="shared" si="45"/>
        <v>2939</v>
      </c>
      <c r="I274" s="9">
        <v>2204</v>
      </c>
      <c r="J274" s="9">
        <f>I274-735</f>
        <v>1469</v>
      </c>
      <c r="K274" s="9">
        <f>I274+735</f>
        <v>2939</v>
      </c>
      <c r="L274" s="9">
        <v>3000</v>
      </c>
      <c r="M274" s="9">
        <v>3000</v>
      </c>
      <c r="N274" s="9"/>
      <c r="O274" s="61"/>
    </row>
    <row r="275" spans="1:15">
      <c r="A275" s="13" t="s">
        <v>449</v>
      </c>
      <c r="B275" s="61" t="s">
        <v>450</v>
      </c>
      <c r="C275" s="14">
        <v>200.58</v>
      </c>
      <c r="D275" s="14"/>
      <c r="E275" s="14"/>
      <c r="F275" s="31">
        <f t="shared" si="36"/>
        <v>2545</v>
      </c>
      <c r="G275" s="31">
        <f t="shared" si="44"/>
        <v>1697</v>
      </c>
      <c r="H275" s="31">
        <f t="shared" si="45"/>
        <v>3393</v>
      </c>
      <c r="I275" s="9">
        <v>2545</v>
      </c>
      <c r="J275" s="9">
        <f>I275-848</f>
        <v>1697</v>
      </c>
      <c r="K275" s="9">
        <f>I275+848</f>
        <v>3393</v>
      </c>
      <c r="L275" s="9">
        <v>3000</v>
      </c>
      <c r="M275" s="9">
        <v>3000</v>
      </c>
      <c r="N275" s="9"/>
      <c r="O275" s="61"/>
    </row>
    <row r="276" spans="1:15">
      <c r="A276" s="13" t="s">
        <v>449</v>
      </c>
      <c r="B276" s="61" t="s">
        <v>450</v>
      </c>
      <c r="C276" s="14">
        <v>200.53</v>
      </c>
      <c r="D276" s="14"/>
      <c r="E276" s="14"/>
      <c r="F276" s="31">
        <f t="shared" si="36"/>
        <v>4496</v>
      </c>
      <c r="G276" s="31">
        <f t="shared" si="44"/>
        <v>2997</v>
      </c>
      <c r="H276" s="31">
        <f t="shared" si="45"/>
        <v>5995</v>
      </c>
      <c r="I276" s="9">
        <v>4496</v>
      </c>
      <c r="J276" s="9">
        <f>I276-1499</f>
        <v>2997</v>
      </c>
      <c r="K276" s="9">
        <f>I276+1499</f>
        <v>5995</v>
      </c>
      <c r="L276" s="9">
        <v>3000</v>
      </c>
      <c r="M276" s="9">
        <v>3000</v>
      </c>
      <c r="N276" s="9"/>
      <c r="O276" s="61"/>
    </row>
    <row r="277" spans="1:15">
      <c r="A277" s="13" t="s">
        <v>449</v>
      </c>
      <c r="B277" s="61" t="s">
        <v>450</v>
      </c>
      <c r="C277" s="14">
        <v>200.53</v>
      </c>
      <c r="D277" s="14"/>
      <c r="E277" s="14"/>
      <c r="F277" s="31">
        <f t="shared" si="36"/>
        <v>4125</v>
      </c>
      <c r="G277" s="31">
        <f t="shared" si="44"/>
        <v>2750</v>
      </c>
      <c r="H277" s="31">
        <f t="shared" si="45"/>
        <v>5500</v>
      </c>
      <c r="I277" s="9">
        <v>4125</v>
      </c>
      <c r="J277" s="9">
        <f>I277-1375</f>
        <v>2750</v>
      </c>
      <c r="K277" s="9">
        <f>I277+1375</f>
        <v>5500</v>
      </c>
      <c r="L277" s="9">
        <v>3000</v>
      </c>
      <c r="M277" s="9">
        <v>3000</v>
      </c>
      <c r="N277" s="9"/>
      <c r="O277" s="61"/>
    </row>
    <row r="278" spans="1:15">
      <c r="A278" s="13" t="s">
        <v>449</v>
      </c>
      <c r="B278" s="61" t="s">
        <v>450</v>
      </c>
      <c r="C278" s="14">
        <v>200.46</v>
      </c>
      <c r="D278" s="14"/>
      <c r="E278" s="14"/>
      <c r="F278" s="31">
        <f t="shared" si="36"/>
        <v>5092</v>
      </c>
      <c r="G278" s="31">
        <f t="shared" si="44"/>
        <v>3395</v>
      </c>
      <c r="H278" s="31">
        <f t="shared" si="45"/>
        <v>6789</v>
      </c>
      <c r="I278" s="9">
        <v>5092</v>
      </c>
      <c r="J278" s="9">
        <f>I278-1697</f>
        <v>3395</v>
      </c>
      <c r="K278" s="9">
        <f>I278+1697</f>
        <v>6789</v>
      </c>
      <c r="L278" s="9">
        <v>3000</v>
      </c>
      <c r="M278" s="9">
        <v>3000</v>
      </c>
      <c r="N278" s="9"/>
      <c r="O278" s="61"/>
    </row>
    <row r="279" spans="1:15">
      <c r="A279" s="13" t="s">
        <v>449</v>
      </c>
      <c r="B279" s="61" t="s">
        <v>450</v>
      </c>
      <c r="C279" s="14">
        <v>200.44</v>
      </c>
      <c r="D279" s="14"/>
      <c r="E279" s="14"/>
      <c r="F279" s="31">
        <f t="shared" si="36"/>
        <v>2882</v>
      </c>
      <c r="G279" s="31">
        <f t="shared" si="44"/>
        <v>1921</v>
      </c>
      <c r="H279" s="31">
        <f t="shared" si="45"/>
        <v>3843</v>
      </c>
      <c r="I279" s="9">
        <v>2882</v>
      </c>
      <c r="J279" s="9">
        <f>I279-961</f>
        <v>1921</v>
      </c>
      <c r="K279" s="9">
        <f>I279+961</f>
        <v>3843</v>
      </c>
      <c r="L279" s="9">
        <v>3000</v>
      </c>
      <c r="M279" s="9">
        <v>3000</v>
      </c>
      <c r="N279" s="9"/>
      <c r="O279" s="61"/>
    </row>
    <row r="280" spans="1:15">
      <c r="A280" s="13" t="s">
        <v>449</v>
      </c>
      <c r="B280" s="61" t="s">
        <v>450</v>
      </c>
      <c r="C280" s="14">
        <v>200.39</v>
      </c>
      <c r="D280" s="14"/>
      <c r="E280" s="14"/>
      <c r="F280" s="31">
        <f t="shared" si="36"/>
        <v>3003</v>
      </c>
      <c r="G280" s="31">
        <f t="shared" si="44"/>
        <v>2002</v>
      </c>
      <c r="H280" s="31">
        <f t="shared" si="45"/>
        <v>4004</v>
      </c>
      <c r="I280" s="9">
        <v>3003</v>
      </c>
      <c r="J280" s="9">
        <f>I280-1001</f>
        <v>2002</v>
      </c>
      <c r="K280" s="9">
        <f>I280+1001</f>
        <v>4004</v>
      </c>
      <c r="L280" s="9">
        <v>3000</v>
      </c>
      <c r="M280" s="9">
        <v>3000</v>
      </c>
      <c r="N280" s="9"/>
      <c r="O280" s="61"/>
    </row>
    <row r="281" spans="1:15">
      <c r="A281" s="13" t="s">
        <v>449</v>
      </c>
      <c r="B281" s="61" t="s">
        <v>450</v>
      </c>
      <c r="C281" s="14">
        <v>200.37</v>
      </c>
      <c r="D281" s="14"/>
      <c r="E281" s="14"/>
      <c r="F281" s="31">
        <f t="shared" si="36"/>
        <v>1496</v>
      </c>
      <c r="G281" s="31">
        <f t="shared" si="44"/>
        <v>997</v>
      </c>
      <c r="H281" s="31">
        <f t="shared" si="45"/>
        <v>1995</v>
      </c>
      <c r="I281" s="9">
        <v>1496</v>
      </c>
      <c r="J281" s="9">
        <f>I281-499</f>
        <v>997</v>
      </c>
      <c r="K281" s="9">
        <f>I281+499</f>
        <v>1995</v>
      </c>
      <c r="L281" s="9">
        <v>3000</v>
      </c>
      <c r="M281" s="9">
        <v>3000</v>
      </c>
      <c r="N281" s="9"/>
      <c r="O281" s="61"/>
    </row>
    <row r="282" spans="1:15">
      <c r="A282" s="13" t="s">
        <v>449</v>
      </c>
      <c r="B282" s="61" t="s">
        <v>450</v>
      </c>
      <c r="C282" s="14">
        <v>200.35</v>
      </c>
      <c r="D282" s="14"/>
      <c r="E282" s="14"/>
      <c r="F282" s="31">
        <f t="shared" si="36"/>
        <v>2117</v>
      </c>
      <c r="G282" s="31">
        <f t="shared" si="44"/>
        <v>1411</v>
      </c>
      <c r="H282" s="31">
        <f t="shared" si="45"/>
        <v>2823</v>
      </c>
      <c r="I282" s="9">
        <v>2117</v>
      </c>
      <c r="J282" s="9">
        <f>I282-706</f>
        <v>1411</v>
      </c>
      <c r="K282" s="9">
        <f>I282+706</f>
        <v>2823</v>
      </c>
      <c r="L282" s="9">
        <v>3000</v>
      </c>
      <c r="M282" s="9">
        <v>3000</v>
      </c>
      <c r="N282" s="9"/>
      <c r="O282" s="61"/>
    </row>
    <row r="283" spans="1:15">
      <c r="A283" s="13" t="s">
        <v>449</v>
      </c>
      <c r="B283" s="61" t="s">
        <v>450</v>
      </c>
      <c r="C283" s="14">
        <v>200.33</v>
      </c>
      <c r="D283" s="14"/>
      <c r="E283" s="14"/>
      <c r="F283" s="31">
        <f t="shared" si="36"/>
        <v>2649</v>
      </c>
      <c r="G283" s="31">
        <f t="shared" si="44"/>
        <v>1766</v>
      </c>
      <c r="H283" s="31">
        <f t="shared" si="45"/>
        <v>3532</v>
      </c>
      <c r="I283" s="9">
        <v>2649</v>
      </c>
      <c r="J283" s="9">
        <f>I283-883</f>
        <v>1766</v>
      </c>
      <c r="K283" s="9">
        <f>I283+883</f>
        <v>3532</v>
      </c>
      <c r="L283" s="9">
        <v>3000</v>
      </c>
      <c r="M283" s="9">
        <v>3000</v>
      </c>
      <c r="N283" s="9"/>
      <c r="O283" s="61"/>
    </row>
    <row r="284" spans="1:15">
      <c r="A284" s="13" t="s">
        <v>449</v>
      </c>
      <c r="B284" s="61" t="s">
        <v>450</v>
      </c>
      <c r="C284" s="14">
        <v>200.31</v>
      </c>
      <c r="D284" s="14"/>
      <c r="E284" s="14"/>
      <c r="F284" s="31">
        <f t="shared" si="36"/>
        <v>2716</v>
      </c>
      <c r="G284" s="31">
        <f t="shared" si="44"/>
        <v>1811</v>
      </c>
      <c r="H284" s="31">
        <f t="shared" si="45"/>
        <v>3621</v>
      </c>
      <c r="I284" s="9">
        <v>2716</v>
      </c>
      <c r="J284" s="9">
        <f>I284-905</f>
        <v>1811</v>
      </c>
      <c r="K284" s="9">
        <f>I284+905</f>
        <v>3621</v>
      </c>
      <c r="L284" s="9">
        <v>3000</v>
      </c>
      <c r="M284" s="9">
        <v>3000</v>
      </c>
      <c r="N284" s="9"/>
      <c r="O284" s="61"/>
    </row>
    <row r="285" spans="1:15">
      <c r="A285" s="13" t="s">
        <v>449</v>
      </c>
      <c r="B285" s="61" t="s">
        <v>450</v>
      </c>
      <c r="C285" s="14">
        <v>200.23</v>
      </c>
      <c r="D285" s="14"/>
      <c r="E285" s="14"/>
      <c r="F285" s="31">
        <f t="shared" si="36"/>
        <v>1528</v>
      </c>
      <c r="G285" s="31">
        <f t="shared" si="44"/>
        <v>1019</v>
      </c>
      <c r="H285" s="31">
        <f t="shared" si="45"/>
        <v>2037</v>
      </c>
      <c r="I285" s="9">
        <v>1528</v>
      </c>
      <c r="J285" s="9">
        <f>I285-509</f>
        <v>1019</v>
      </c>
      <c r="K285" s="9">
        <f>I285+509</f>
        <v>2037</v>
      </c>
      <c r="L285" s="9">
        <v>3000</v>
      </c>
      <c r="M285" s="9">
        <v>3000</v>
      </c>
      <c r="N285" s="9"/>
      <c r="O285" s="61"/>
    </row>
    <row r="286" spans="1:15">
      <c r="A286" s="13" t="s">
        <v>449</v>
      </c>
      <c r="B286" s="61" t="s">
        <v>450</v>
      </c>
      <c r="C286" s="14">
        <v>200.15</v>
      </c>
      <c r="D286" s="14"/>
      <c r="E286" s="14"/>
      <c r="F286" s="31">
        <f t="shared" si="36"/>
        <v>915</v>
      </c>
      <c r="G286" s="31">
        <f t="shared" si="44"/>
        <v>610</v>
      </c>
      <c r="H286" s="31">
        <f t="shared" si="45"/>
        <v>1220</v>
      </c>
      <c r="I286" s="9">
        <v>915</v>
      </c>
      <c r="J286" s="9">
        <f>I286-305</f>
        <v>610</v>
      </c>
      <c r="K286" s="9">
        <f>I286+305</f>
        <v>1220</v>
      </c>
      <c r="L286" s="9">
        <v>3000</v>
      </c>
      <c r="M286" s="9">
        <v>3000</v>
      </c>
      <c r="N286" s="9"/>
      <c r="O286" s="61"/>
    </row>
    <row r="287" spans="1:15">
      <c r="A287" s="13" t="s">
        <v>449</v>
      </c>
      <c r="B287" s="61" t="s">
        <v>450</v>
      </c>
      <c r="C287" s="14">
        <v>199.79</v>
      </c>
      <c r="D287" s="14"/>
      <c r="E287" s="14"/>
      <c r="F287" s="31">
        <f t="shared" si="36"/>
        <v>785</v>
      </c>
      <c r="G287" s="31">
        <f t="shared" si="44"/>
        <v>523</v>
      </c>
      <c r="H287" s="31">
        <f t="shared" si="45"/>
        <v>1047</v>
      </c>
      <c r="I287" s="9">
        <v>785</v>
      </c>
      <c r="J287" s="9">
        <f>I287-262</f>
        <v>523</v>
      </c>
      <c r="K287" s="9">
        <f>I287+262</f>
        <v>1047</v>
      </c>
      <c r="L287" s="9">
        <v>3000</v>
      </c>
      <c r="M287" s="9">
        <v>3000</v>
      </c>
      <c r="N287" s="9"/>
      <c r="O287" s="61"/>
    </row>
    <row r="288" spans="1:15">
      <c r="A288" s="13" t="s">
        <v>449</v>
      </c>
      <c r="B288" s="61" t="s">
        <v>450</v>
      </c>
      <c r="C288" s="14">
        <v>198.99</v>
      </c>
      <c r="D288" s="14"/>
      <c r="E288" s="14"/>
      <c r="F288" s="31">
        <f t="shared" si="36"/>
        <v>1768</v>
      </c>
      <c r="G288" s="31">
        <f t="shared" si="44"/>
        <v>1179</v>
      </c>
      <c r="H288" s="31">
        <f t="shared" si="45"/>
        <v>2357</v>
      </c>
      <c r="I288" s="9">
        <v>1768</v>
      </c>
      <c r="J288" s="9">
        <f>I288-589</f>
        <v>1179</v>
      </c>
      <c r="K288" s="9">
        <f>I288+589</f>
        <v>2357</v>
      </c>
      <c r="L288" s="9">
        <v>3000</v>
      </c>
      <c r="M288" s="9">
        <v>3000</v>
      </c>
      <c r="N288" s="9"/>
      <c r="O288" s="61"/>
    </row>
    <row r="289" spans="1:15">
      <c r="A289" s="13" t="s">
        <v>176</v>
      </c>
      <c r="B289" s="61" t="s">
        <v>272</v>
      </c>
      <c r="C289" s="18">
        <f>AVERAGE(D289:E289)</f>
        <v>127.85</v>
      </c>
      <c r="D289" s="14">
        <v>129.4</v>
      </c>
      <c r="E289" s="14">
        <v>126.3</v>
      </c>
      <c r="F289" s="31">
        <f t="shared" si="36"/>
        <v>530</v>
      </c>
      <c r="G289" s="31">
        <f t="shared" si="37"/>
        <v>316</v>
      </c>
      <c r="H289" s="31">
        <f t="shared" si="38"/>
        <v>744</v>
      </c>
      <c r="I289" s="15">
        <v>530</v>
      </c>
      <c r="J289" s="15">
        <f>I289-214</f>
        <v>316</v>
      </c>
      <c r="K289" s="15">
        <f>I289+214</f>
        <v>744</v>
      </c>
      <c r="L289" s="9">
        <f>AVERAGE(1301,2156,1301,1372)</f>
        <v>1532.5</v>
      </c>
      <c r="M289" s="9">
        <f t="shared" ref="M289:M297" si="46">L289</f>
        <v>1532.5</v>
      </c>
      <c r="O289" s="61" t="s">
        <v>42</v>
      </c>
    </row>
    <row r="290" spans="1:15">
      <c r="A290" s="13" t="s">
        <v>176</v>
      </c>
      <c r="B290" s="61" t="s">
        <v>273</v>
      </c>
      <c r="C290" s="18">
        <f>AVERAGE(D290:E290)</f>
        <v>137.9</v>
      </c>
      <c r="D290" s="14">
        <v>139.4</v>
      </c>
      <c r="E290" s="14">
        <v>136.4</v>
      </c>
      <c r="F290" s="31">
        <f t="shared" si="36"/>
        <v>241</v>
      </c>
      <c r="G290" s="31">
        <f t="shared" si="37"/>
        <v>105</v>
      </c>
      <c r="H290" s="31">
        <f t="shared" si="38"/>
        <v>377</v>
      </c>
      <c r="I290" s="15">
        <v>241</v>
      </c>
      <c r="J290" s="15">
        <f>I290-136</f>
        <v>105</v>
      </c>
      <c r="K290" s="15">
        <f>I290+136</f>
        <v>377</v>
      </c>
      <c r="L290" s="9">
        <f>AVERAGE(1344,1963)</f>
        <v>1653.5</v>
      </c>
      <c r="M290" s="9">
        <f t="shared" si="46"/>
        <v>1653.5</v>
      </c>
      <c r="O290" s="61" t="s">
        <v>42</v>
      </c>
    </row>
    <row r="291" spans="1:15">
      <c r="A291" s="13" t="s">
        <v>176</v>
      </c>
      <c r="B291" s="61" t="s">
        <v>274</v>
      </c>
      <c r="C291" s="18">
        <f>AVERAGE(D291:E291)</f>
        <v>143.5</v>
      </c>
      <c r="D291" s="14">
        <v>145</v>
      </c>
      <c r="E291" s="14">
        <v>142</v>
      </c>
      <c r="F291" s="31">
        <f t="shared" si="36"/>
        <v>345</v>
      </c>
      <c r="G291" s="31">
        <f t="shared" si="37"/>
        <v>137</v>
      </c>
      <c r="H291" s="31">
        <f t="shared" si="38"/>
        <v>553</v>
      </c>
      <c r="I291" s="15">
        <v>345</v>
      </c>
      <c r="J291" s="15">
        <f>I291-208</f>
        <v>137</v>
      </c>
      <c r="K291" s="15">
        <f>I291+208</f>
        <v>553</v>
      </c>
      <c r="L291" s="9">
        <f>AVERAGE(1279,2660,2660,2660)</f>
        <v>2314.75</v>
      </c>
      <c r="M291" s="9">
        <f t="shared" si="46"/>
        <v>2314.75</v>
      </c>
      <c r="O291" s="61" t="s">
        <v>42</v>
      </c>
    </row>
    <row r="292" spans="1:15">
      <c r="A292" s="13" t="s">
        <v>178</v>
      </c>
      <c r="B292" s="61" t="s">
        <v>207</v>
      </c>
      <c r="C292" s="14">
        <v>83</v>
      </c>
      <c r="D292" s="14"/>
      <c r="E292" s="14"/>
      <c r="F292" s="31">
        <f t="shared" si="36"/>
        <v>1522</v>
      </c>
      <c r="G292" s="31">
        <f t="shared" si="37"/>
        <v>1349</v>
      </c>
      <c r="H292" s="31">
        <f t="shared" si="38"/>
        <v>1695</v>
      </c>
      <c r="I292" s="15">
        <v>1522</v>
      </c>
      <c r="J292" s="15">
        <f>I292-173</f>
        <v>1349</v>
      </c>
      <c r="K292" s="15">
        <f>I292+173</f>
        <v>1695</v>
      </c>
      <c r="L292" s="15">
        <v>1500</v>
      </c>
      <c r="M292" s="9">
        <f t="shared" si="46"/>
        <v>1500</v>
      </c>
      <c r="O292" s="61" t="s">
        <v>42</v>
      </c>
    </row>
    <row r="293" spans="1:15">
      <c r="A293" s="13" t="s">
        <v>178</v>
      </c>
      <c r="B293" s="61" t="s">
        <v>275</v>
      </c>
      <c r="C293" s="14">
        <v>98</v>
      </c>
      <c r="D293" s="14"/>
      <c r="E293" s="14"/>
      <c r="F293" s="31">
        <f t="shared" si="36"/>
        <v>1520</v>
      </c>
      <c r="G293" s="31">
        <f t="shared" si="37"/>
        <v>1292</v>
      </c>
      <c r="H293" s="31">
        <f t="shared" si="38"/>
        <v>1748</v>
      </c>
      <c r="I293" s="15">
        <v>1520</v>
      </c>
      <c r="J293" s="15">
        <f>I293-228</f>
        <v>1292</v>
      </c>
      <c r="K293" s="15">
        <f>I293+228</f>
        <v>1748</v>
      </c>
      <c r="L293" s="15">
        <v>2000</v>
      </c>
      <c r="M293" s="9">
        <f t="shared" si="46"/>
        <v>2000</v>
      </c>
      <c r="O293" s="61" t="s">
        <v>42</v>
      </c>
    </row>
    <row r="294" spans="1:15">
      <c r="A294" s="13" t="s">
        <v>178</v>
      </c>
      <c r="B294" s="61" t="s">
        <v>275</v>
      </c>
      <c r="C294" s="14">
        <v>100.5</v>
      </c>
      <c r="D294" s="14"/>
      <c r="E294" s="14"/>
      <c r="F294" s="31">
        <f t="shared" si="36"/>
        <v>1368</v>
      </c>
      <c r="G294" s="31">
        <f t="shared" si="37"/>
        <v>1300</v>
      </c>
      <c r="H294" s="31">
        <f t="shared" si="38"/>
        <v>1436</v>
      </c>
      <c r="I294" s="15">
        <v>1368</v>
      </c>
      <c r="J294" s="15">
        <f>I294-68</f>
        <v>1300</v>
      </c>
      <c r="K294" s="15">
        <f>I294+68</f>
        <v>1436</v>
      </c>
      <c r="L294" s="15">
        <v>2000</v>
      </c>
      <c r="M294" s="9">
        <f t="shared" si="46"/>
        <v>2000</v>
      </c>
      <c r="O294" s="61" t="s">
        <v>42</v>
      </c>
    </row>
    <row r="295" spans="1:15">
      <c r="A295" s="13" t="s">
        <v>178</v>
      </c>
      <c r="B295" s="61" t="s">
        <v>275</v>
      </c>
      <c r="C295" s="14">
        <v>102</v>
      </c>
      <c r="D295" s="14"/>
      <c r="E295" s="14"/>
      <c r="F295" s="31">
        <f t="shared" si="36"/>
        <v>1428</v>
      </c>
      <c r="G295" s="31">
        <f t="shared" si="37"/>
        <v>1300</v>
      </c>
      <c r="H295" s="31">
        <f t="shared" si="38"/>
        <v>1556</v>
      </c>
      <c r="I295" s="15">
        <v>1428</v>
      </c>
      <c r="J295" s="15">
        <f>I295-128</f>
        <v>1300</v>
      </c>
      <c r="K295" s="15">
        <f>I295+128</f>
        <v>1556</v>
      </c>
      <c r="L295" s="15">
        <v>2000</v>
      </c>
      <c r="M295" s="9">
        <f t="shared" si="46"/>
        <v>2000</v>
      </c>
      <c r="O295" s="61" t="s">
        <v>42</v>
      </c>
    </row>
    <row r="296" spans="1:15">
      <c r="A296" s="13" t="s">
        <v>178</v>
      </c>
      <c r="B296" s="61" t="s">
        <v>275</v>
      </c>
      <c r="C296" s="14">
        <v>103.5</v>
      </c>
      <c r="D296" s="14"/>
      <c r="E296" s="14"/>
      <c r="F296" s="31">
        <f t="shared" si="36"/>
        <v>1060</v>
      </c>
      <c r="G296" s="31">
        <f t="shared" si="37"/>
        <v>984</v>
      </c>
      <c r="H296" s="31">
        <f t="shared" si="38"/>
        <v>1136</v>
      </c>
      <c r="I296" s="15">
        <v>1060</v>
      </c>
      <c r="J296" s="15">
        <f>I296-76</f>
        <v>984</v>
      </c>
      <c r="K296" s="15">
        <f>I296+76</f>
        <v>1136</v>
      </c>
      <c r="L296" s="15">
        <v>2000</v>
      </c>
      <c r="M296" s="9">
        <f t="shared" si="46"/>
        <v>2000</v>
      </c>
      <c r="O296" s="61" t="s">
        <v>42</v>
      </c>
    </row>
    <row r="297" spans="1:15">
      <c r="A297" s="13" t="s">
        <v>178</v>
      </c>
      <c r="B297" s="61" t="s">
        <v>275</v>
      </c>
      <c r="C297" s="14">
        <v>113.5</v>
      </c>
      <c r="D297" s="14"/>
      <c r="E297" s="14"/>
      <c r="F297" s="31">
        <f t="shared" si="36"/>
        <v>449</v>
      </c>
      <c r="G297" s="31">
        <f t="shared" si="37"/>
        <v>309</v>
      </c>
      <c r="H297" s="31">
        <f t="shared" si="38"/>
        <v>589</v>
      </c>
      <c r="I297" s="15">
        <v>449</v>
      </c>
      <c r="J297" s="15">
        <f>I297-140</f>
        <v>309</v>
      </c>
      <c r="K297" s="15">
        <f>I297+140</f>
        <v>589</v>
      </c>
      <c r="L297" s="15">
        <v>2500</v>
      </c>
      <c r="M297" s="9">
        <f t="shared" si="46"/>
        <v>2500</v>
      </c>
      <c r="O297" s="61" t="s">
        <v>42</v>
      </c>
    </row>
    <row r="298" spans="1:15">
      <c r="A298" s="13" t="s">
        <v>279</v>
      </c>
      <c r="B298" s="61" t="s">
        <v>277</v>
      </c>
      <c r="C298" s="18">
        <f>AVERAGE(D298:E298)</f>
        <v>157.80000000000001</v>
      </c>
      <c r="D298" s="14">
        <v>163.5</v>
      </c>
      <c r="E298" s="14">
        <v>152.1</v>
      </c>
      <c r="F298" s="31">
        <f t="shared" si="36"/>
        <v>557.66666666666663</v>
      </c>
      <c r="G298" s="31">
        <f t="shared" si="37"/>
        <v>445</v>
      </c>
      <c r="H298" s="31">
        <f t="shared" si="38"/>
        <v>670.33333333333337</v>
      </c>
      <c r="I298" s="15">
        <v>1673</v>
      </c>
      <c r="J298" s="15">
        <f>I298-338</f>
        <v>1335</v>
      </c>
      <c r="K298" s="15">
        <f>I298+338</f>
        <v>2011</v>
      </c>
      <c r="L298" s="15">
        <v>6000</v>
      </c>
      <c r="M298" s="9">
        <v>2000</v>
      </c>
      <c r="N298" s="9"/>
      <c r="O298" s="61" t="s">
        <v>42</v>
      </c>
    </row>
    <row r="299" spans="1:15">
      <c r="A299" s="13" t="s">
        <v>280</v>
      </c>
      <c r="B299" s="61" t="s">
        <v>278</v>
      </c>
      <c r="C299" s="14">
        <f>AVERAGE(D299:E299)</f>
        <v>5.5</v>
      </c>
      <c r="D299" s="14">
        <v>6.1</v>
      </c>
      <c r="E299" s="14">
        <v>4.9000000000000004</v>
      </c>
      <c r="F299" s="31">
        <f t="shared" si="36"/>
        <v>282</v>
      </c>
      <c r="G299" s="31">
        <f t="shared" si="37"/>
        <v>99</v>
      </c>
      <c r="H299" s="31">
        <f t="shared" si="38"/>
        <v>465</v>
      </c>
      <c r="I299" s="15">
        <v>282</v>
      </c>
      <c r="J299" s="15">
        <f>I299-183</f>
        <v>99</v>
      </c>
      <c r="K299" s="15">
        <f>I299+183</f>
        <v>465</v>
      </c>
      <c r="L299" s="9">
        <v>1800</v>
      </c>
      <c r="M299" s="15">
        <v>1800</v>
      </c>
      <c r="O299" s="61" t="s">
        <v>42</v>
      </c>
    </row>
    <row r="300" spans="1:15">
      <c r="A300" s="13" t="s">
        <v>428</v>
      </c>
      <c r="B300" s="60" t="s">
        <v>401</v>
      </c>
      <c r="C300" s="14">
        <v>50.4846</v>
      </c>
      <c r="D300" s="14">
        <f t="shared" ref="D300:D309" si="47">C300+0.05</f>
        <v>50.534599999999998</v>
      </c>
      <c r="E300" s="14">
        <f t="shared" ref="E300:E309" si="48">C300-0.05</f>
        <v>50.434600000000003</v>
      </c>
      <c r="F300" s="9">
        <v>683.76099999999997</v>
      </c>
      <c r="G300" s="9">
        <v>574.35900000000004</v>
      </c>
      <c r="H300" s="9">
        <v>806.83799999999997</v>
      </c>
      <c r="I300" s="9">
        <v>683.76099999999997</v>
      </c>
      <c r="J300" s="9">
        <v>574.35900000000004</v>
      </c>
      <c r="K300" s="9">
        <v>806.83799999999997</v>
      </c>
      <c r="O300" s="61" t="s">
        <v>42</v>
      </c>
    </row>
    <row r="301" spans="1:15">
      <c r="A301" s="13" t="s">
        <v>428</v>
      </c>
      <c r="B301" s="60" t="s">
        <v>401</v>
      </c>
      <c r="C301" s="14">
        <v>50.731299999999997</v>
      </c>
      <c r="D301" s="14">
        <f t="shared" si="47"/>
        <v>50.781299999999995</v>
      </c>
      <c r="E301" s="14">
        <f t="shared" si="48"/>
        <v>50.6813</v>
      </c>
      <c r="F301" s="9">
        <v>396.58100000000002</v>
      </c>
      <c r="G301" s="9">
        <v>246</v>
      </c>
      <c r="H301" s="9">
        <v>533.33299999999997</v>
      </c>
      <c r="I301" s="9">
        <v>396.58100000000002</v>
      </c>
      <c r="J301" s="9">
        <v>246</v>
      </c>
      <c r="K301" s="9">
        <v>533.33299999999997</v>
      </c>
      <c r="O301" s="61" t="s">
        <v>42</v>
      </c>
    </row>
    <row r="302" spans="1:15">
      <c r="A302" s="13" t="s">
        <v>428</v>
      </c>
      <c r="B302" s="60" t="s">
        <v>401</v>
      </c>
      <c r="C302" s="14">
        <v>50.889899999999997</v>
      </c>
      <c r="D302" s="14">
        <f t="shared" si="47"/>
        <v>50.939899999999994</v>
      </c>
      <c r="E302" s="14">
        <f t="shared" si="48"/>
        <v>50.8399</v>
      </c>
      <c r="F302" s="9">
        <v>177.77799999999999</v>
      </c>
      <c r="G302" s="9">
        <v>109.402</v>
      </c>
      <c r="H302" s="9">
        <v>246.154</v>
      </c>
      <c r="I302" s="9">
        <v>177.77799999999999</v>
      </c>
      <c r="J302" s="9">
        <v>109.402</v>
      </c>
      <c r="K302" s="9">
        <v>246.154</v>
      </c>
      <c r="O302" s="61" t="s">
        <v>42</v>
      </c>
    </row>
    <row r="303" spans="1:15">
      <c r="A303" s="13" t="s">
        <v>428</v>
      </c>
      <c r="B303" s="60" t="s">
        <v>401</v>
      </c>
      <c r="C303" s="14">
        <v>51.110100000000003</v>
      </c>
      <c r="D303" s="14">
        <f t="shared" si="47"/>
        <v>51.1601</v>
      </c>
      <c r="E303" s="14">
        <f t="shared" si="48"/>
        <v>51.060100000000006</v>
      </c>
      <c r="F303" s="9">
        <v>1285.47</v>
      </c>
      <c r="G303" s="9">
        <v>1025.6400000000001</v>
      </c>
      <c r="H303" s="9">
        <v>1531.62</v>
      </c>
      <c r="I303" s="9">
        <v>1285.47</v>
      </c>
      <c r="J303" s="9">
        <v>1025.6400000000001</v>
      </c>
      <c r="K303" s="9">
        <v>1531.62</v>
      </c>
      <c r="O303" s="61" t="s">
        <v>42</v>
      </c>
    </row>
    <row r="304" spans="1:15">
      <c r="A304" s="13" t="s">
        <v>428</v>
      </c>
      <c r="B304" s="60" t="s">
        <v>401</v>
      </c>
      <c r="C304" s="14">
        <v>51.233499999999999</v>
      </c>
      <c r="D304" s="14">
        <f t="shared" si="47"/>
        <v>51.283499999999997</v>
      </c>
      <c r="E304" s="14">
        <f t="shared" si="48"/>
        <v>51.183500000000002</v>
      </c>
      <c r="F304" s="9">
        <v>1353.85</v>
      </c>
      <c r="G304" s="9">
        <v>1258.1199999999999</v>
      </c>
      <c r="H304" s="9">
        <v>1449.57</v>
      </c>
      <c r="I304" s="9">
        <v>1353.85</v>
      </c>
      <c r="J304" s="9">
        <v>1258.1199999999999</v>
      </c>
      <c r="K304" s="9">
        <v>1449.57</v>
      </c>
      <c r="O304" s="61" t="s">
        <v>42</v>
      </c>
    </row>
    <row r="305" spans="1:15">
      <c r="A305" s="13" t="s">
        <v>428</v>
      </c>
      <c r="B305" s="60" t="s">
        <v>401</v>
      </c>
      <c r="C305" s="14">
        <v>51.374400000000001</v>
      </c>
      <c r="D305" s="14">
        <f t="shared" si="47"/>
        <v>51.424399999999999</v>
      </c>
      <c r="E305" s="14">
        <f t="shared" si="48"/>
        <v>51.324400000000004</v>
      </c>
      <c r="F305" s="9">
        <v>970.94</v>
      </c>
      <c r="G305" s="9">
        <v>834.18799999999999</v>
      </c>
      <c r="H305" s="9">
        <v>1107.69</v>
      </c>
      <c r="I305" s="9">
        <v>970.94</v>
      </c>
      <c r="J305" s="9">
        <v>834.18799999999999</v>
      </c>
      <c r="K305" s="9">
        <v>1107.69</v>
      </c>
      <c r="O305" s="61" t="s">
        <v>42</v>
      </c>
    </row>
    <row r="306" spans="1:15">
      <c r="A306" s="13" t="s">
        <v>428</v>
      </c>
      <c r="B306" s="60" t="s">
        <v>401</v>
      </c>
      <c r="C306" s="14">
        <v>51.462600000000002</v>
      </c>
      <c r="D306" s="14">
        <f t="shared" si="47"/>
        <v>51.512599999999999</v>
      </c>
      <c r="E306" s="14">
        <f t="shared" si="48"/>
        <v>51.412600000000005</v>
      </c>
      <c r="F306" s="9">
        <v>1709.4</v>
      </c>
      <c r="G306" s="9">
        <v>1435.9</v>
      </c>
      <c r="H306" s="9">
        <v>2000</v>
      </c>
      <c r="I306" s="9">
        <v>1709.4</v>
      </c>
      <c r="J306" s="9">
        <v>1435.9</v>
      </c>
      <c r="K306" s="9">
        <v>2000</v>
      </c>
      <c r="O306" s="61" t="s">
        <v>42</v>
      </c>
    </row>
    <row r="307" spans="1:15">
      <c r="A307" s="13" t="s">
        <v>428</v>
      </c>
      <c r="B307" s="60" t="s">
        <v>401</v>
      </c>
      <c r="C307" s="14">
        <v>51.5154</v>
      </c>
      <c r="D307" s="14">
        <f t="shared" si="47"/>
        <v>51.565399999999997</v>
      </c>
      <c r="E307" s="14">
        <f t="shared" si="48"/>
        <v>51.465400000000002</v>
      </c>
      <c r="F307" s="9">
        <v>1299.1500000000001</v>
      </c>
      <c r="G307" s="9">
        <v>1066.67</v>
      </c>
      <c r="H307" s="9">
        <v>1490.6</v>
      </c>
      <c r="I307" s="9">
        <v>1299.1500000000001</v>
      </c>
      <c r="J307" s="9">
        <v>1066.67</v>
      </c>
      <c r="K307" s="9">
        <v>1490.6</v>
      </c>
      <c r="O307" s="61" t="s">
        <v>42</v>
      </c>
    </row>
    <row r="308" spans="1:15">
      <c r="A308" s="13" t="s">
        <v>428</v>
      </c>
      <c r="B308" s="60" t="s">
        <v>401</v>
      </c>
      <c r="C308" s="14">
        <v>51.779699999999998</v>
      </c>
      <c r="D308" s="14">
        <f t="shared" si="47"/>
        <v>51.829699999999995</v>
      </c>
      <c r="E308" s="14">
        <f t="shared" si="48"/>
        <v>51.729700000000001</v>
      </c>
      <c r="F308" s="9">
        <v>902.56399999999996</v>
      </c>
      <c r="G308" s="9">
        <v>738.46199999999999</v>
      </c>
      <c r="H308" s="9">
        <v>1067</v>
      </c>
      <c r="I308" s="9">
        <v>902.56399999999996</v>
      </c>
      <c r="J308" s="9">
        <v>738.46199999999999</v>
      </c>
      <c r="K308" s="9">
        <v>1067</v>
      </c>
      <c r="O308" s="61" t="s">
        <v>42</v>
      </c>
    </row>
    <row r="309" spans="1:15">
      <c r="A309" s="13" t="s">
        <v>428</v>
      </c>
      <c r="B309" s="60" t="s">
        <v>401</v>
      </c>
      <c r="C309" s="14">
        <v>51.982399999999998</v>
      </c>
      <c r="D309" s="14">
        <f t="shared" si="47"/>
        <v>52.032399999999996</v>
      </c>
      <c r="E309" s="14">
        <f t="shared" si="48"/>
        <v>51.932400000000001</v>
      </c>
      <c r="F309" s="9">
        <v>300.85500000000002</v>
      </c>
      <c r="G309" s="9">
        <v>218.803</v>
      </c>
      <c r="H309" s="9">
        <v>382.90600000000001</v>
      </c>
      <c r="I309" s="9">
        <v>300.85500000000002</v>
      </c>
      <c r="J309" s="9">
        <v>218.803</v>
      </c>
      <c r="K309" s="9">
        <v>382.90600000000001</v>
      </c>
      <c r="O309" s="61" t="s">
        <v>42</v>
      </c>
    </row>
    <row r="310" spans="1:15">
      <c r="A310" s="13" t="s">
        <v>439</v>
      </c>
      <c r="B310" s="60" t="s">
        <v>440</v>
      </c>
      <c r="C310" s="14">
        <f>63.1+0.5</f>
        <v>63.6</v>
      </c>
      <c r="F310" s="15">
        <v>399</v>
      </c>
      <c r="G310" s="15">
        <f>F310-79</f>
        <v>320</v>
      </c>
      <c r="H310" s="15">
        <f>F310+79</f>
        <v>478</v>
      </c>
      <c r="I310" s="15">
        <v>399</v>
      </c>
      <c r="J310" s="15">
        <f>I310-79</f>
        <v>320</v>
      </c>
      <c r="K310" s="15">
        <f>I310+79</f>
        <v>478</v>
      </c>
      <c r="L310" s="9">
        <v>4700</v>
      </c>
      <c r="M310" s="9">
        <f>L310</f>
        <v>4700</v>
      </c>
    </row>
    <row r="311" spans="1:15">
      <c r="A311" s="13" t="s">
        <v>439</v>
      </c>
      <c r="B311" s="60" t="s">
        <v>440</v>
      </c>
      <c r="C311" s="14">
        <f>63.2+0.5</f>
        <v>63.7</v>
      </c>
      <c r="F311" s="15">
        <v>341</v>
      </c>
      <c r="G311" s="15">
        <f>F311-103</f>
        <v>238</v>
      </c>
      <c r="H311" s="15">
        <f>F311+103</f>
        <v>444</v>
      </c>
      <c r="I311" s="15">
        <v>341</v>
      </c>
      <c r="J311" s="15">
        <f>I311-103</f>
        <v>238</v>
      </c>
      <c r="K311" s="15">
        <f>I311+103</f>
        <v>444</v>
      </c>
      <c r="L311" s="9">
        <v>2987</v>
      </c>
      <c r="M311" s="9">
        <f t="shared" ref="M311:M320" si="49">L311</f>
        <v>2987</v>
      </c>
    </row>
    <row r="312" spans="1:15">
      <c r="A312" s="13" t="s">
        <v>439</v>
      </c>
      <c r="B312" s="60" t="s">
        <v>440</v>
      </c>
      <c r="C312" s="14">
        <f>64.1+0.5</f>
        <v>64.599999999999994</v>
      </c>
      <c r="F312" s="15">
        <v>326</v>
      </c>
      <c r="G312" s="15">
        <f>F312-91</f>
        <v>235</v>
      </c>
      <c r="H312" s="15">
        <f>F312+91</f>
        <v>417</v>
      </c>
      <c r="I312" s="15">
        <v>326</v>
      </c>
      <c r="J312" s="15">
        <f>I312-91</f>
        <v>235</v>
      </c>
      <c r="K312" s="15">
        <f>I312+91</f>
        <v>417</v>
      </c>
      <c r="L312" s="9">
        <f>AVERAGE(2649,4024)</f>
        <v>3336.5</v>
      </c>
      <c r="M312" s="9">
        <f t="shared" si="49"/>
        <v>3336.5</v>
      </c>
    </row>
    <row r="313" spans="1:15">
      <c r="A313" s="13" t="s">
        <v>439</v>
      </c>
      <c r="B313" s="60" t="s">
        <v>440</v>
      </c>
      <c r="C313" s="14">
        <f>64.2+0.5</f>
        <v>64.7</v>
      </c>
      <c r="F313" s="15">
        <v>456</v>
      </c>
      <c r="G313" s="15">
        <f>F313-159</f>
        <v>297</v>
      </c>
      <c r="H313" s="15">
        <f>F313+159</f>
        <v>615</v>
      </c>
      <c r="I313" s="15">
        <v>456</v>
      </c>
      <c r="J313" s="15">
        <f>I313-159</f>
        <v>297</v>
      </c>
      <c r="K313" s="15">
        <f>I313+159</f>
        <v>615</v>
      </c>
      <c r="L313" s="9">
        <f>AVERAGE(1275,3338,3338)</f>
        <v>2650.3333333333335</v>
      </c>
      <c r="M313" s="9">
        <f t="shared" si="49"/>
        <v>2650.3333333333335</v>
      </c>
    </row>
    <row r="314" spans="1:15">
      <c r="A314" s="13" t="s">
        <v>439</v>
      </c>
      <c r="B314" s="60" t="s">
        <v>440</v>
      </c>
      <c r="C314" s="14">
        <f>64.4+0.5</f>
        <v>64.900000000000006</v>
      </c>
      <c r="F314" s="15">
        <v>286</v>
      </c>
      <c r="G314" s="15">
        <f>F314-78</f>
        <v>208</v>
      </c>
      <c r="H314" s="15">
        <f>F314+78</f>
        <v>364</v>
      </c>
      <c r="I314" s="15">
        <v>286</v>
      </c>
      <c r="J314" s="15">
        <f>I314-78</f>
        <v>208</v>
      </c>
      <c r="K314" s="15">
        <f>I314+78</f>
        <v>364</v>
      </c>
      <c r="L314" s="9">
        <v>3338</v>
      </c>
      <c r="M314" s="9">
        <f t="shared" si="49"/>
        <v>3338</v>
      </c>
    </row>
    <row r="315" spans="1:15">
      <c r="A315" s="13" t="s">
        <v>439</v>
      </c>
      <c r="B315" s="60" t="s">
        <v>440</v>
      </c>
      <c r="C315" s="14">
        <f>64.5+0.5</f>
        <v>65</v>
      </c>
      <c r="F315" s="15">
        <v>584</v>
      </c>
      <c r="G315" s="15">
        <f>F315-159</f>
        <v>425</v>
      </c>
      <c r="H315" s="15">
        <f>F315+159</f>
        <v>743</v>
      </c>
      <c r="I315" s="15">
        <v>584</v>
      </c>
      <c r="J315" s="15">
        <f>I315-159</f>
        <v>425</v>
      </c>
      <c r="K315" s="15">
        <f>I315+159</f>
        <v>743</v>
      </c>
      <c r="L315" s="9">
        <v>3340</v>
      </c>
      <c r="M315" s="9">
        <f t="shared" si="49"/>
        <v>3340</v>
      </c>
    </row>
    <row r="316" spans="1:15">
      <c r="A316" s="13" t="s">
        <v>439</v>
      </c>
      <c r="B316" s="60" t="s">
        <v>440</v>
      </c>
      <c r="C316" s="14">
        <f>64.6+0.5</f>
        <v>65.099999999999994</v>
      </c>
      <c r="F316" s="15">
        <v>451</v>
      </c>
      <c r="G316" s="15">
        <f>F316-126</f>
        <v>325</v>
      </c>
      <c r="H316" s="15">
        <f>F316+126</f>
        <v>577</v>
      </c>
      <c r="I316" s="15">
        <v>451</v>
      </c>
      <c r="J316" s="15">
        <f>I316-126</f>
        <v>325</v>
      </c>
      <c r="K316" s="15">
        <f>I316+126</f>
        <v>577</v>
      </c>
      <c r="L316" s="9">
        <f>AVERAGE(4717,1689)</f>
        <v>3203</v>
      </c>
      <c r="M316" s="9">
        <f t="shared" si="49"/>
        <v>3203</v>
      </c>
    </row>
    <row r="317" spans="1:15">
      <c r="A317" s="13" t="s">
        <v>439</v>
      </c>
      <c r="B317" s="60" t="s">
        <v>440</v>
      </c>
      <c r="C317" s="14">
        <f>64.7+0.5</f>
        <v>65.2</v>
      </c>
      <c r="F317" s="15">
        <v>569</v>
      </c>
      <c r="G317" s="15">
        <f>F317-271</f>
        <v>298</v>
      </c>
      <c r="H317" s="15">
        <f>F317+271</f>
        <v>840</v>
      </c>
      <c r="I317" s="15">
        <v>569</v>
      </c>
      <c r="J317" s="15">
        <f>I317-271</f>
        <v>298</v>
      </c>
      <c r="K317" s="15">
        <f>I317+271</f>
        <v>840</v>
      </c>
      <c r="L317" s="9">
        <f>AVERAGE(1965,1965,1965,2653,4718)</f>
        <v>2653.2</v>
      </c>
      <c r="M317" s="9">
        <f t="shared" si="49"/>
        <v>2653.2</v>
      </c>
    </row>
    <row r="318" spans="1:15">
      <c r="A318" s="13" t="s">
        <v>439</v>
      </c>
      <c r="B318" s="60" t="s">
        <v>440</v>
      </c>
      <c r="C318" s="14">
        <f>64.9+0.5</f>
        <v>65.400000000000006</v>
      </c>
      <c r="F318" s="15">
        <v>470</v>
      </c>
      <c r="G318" s="15">
        <f>F318-160</f>
        <v>310</v>
      </c>
      <c r="H318" s="15">
        <f>F318+160</f>
        <v>630</v>
      </c>
      <c r="I318" s="15">
        <v>470</v>
      </c>
      <c r="J318" s="15">
        <f>I318-160</f>
        <v>310</v>
      </c>
      <c r="K318" s="15">
        <f>I318+160</f>
        <v>630</v>
      </c>
      <c r="L318" s="9">
        <v>2654</v>
      </c>
      <c r="M318" s="9">
        <f t="shared" si="49"/>
        <v>2654</v>
      </c>
    </row>
    <row r="319" spans="1:15">
      <c r="A319" s="13" t="s">
        <v>439</v>
      </c>
      <c r="B319" s="60" t="s">
        <v>440</v>
      </c>
      <c r="C319" s="14">
        <f>66+0.5</f>
        <v>66.5</v>
      </c>
      <c r="F319" s="15">
        <v>837</v>
      </c>
      <c r="G319" s="15">
        <f>F319-164</f>
        <v>673</v>
      </c>
      <c r="H319" s="15">
        <f>F319+164</f>
        <v>1001</v>
      </c>
      <c r="I319" s="15">
        <v>837</v>
      </c>
      <c r="J319" s="15">
        <f>I319-164</f>
        <v>673</v>
      </c>
      <c r="K319" s="15">
        <f>I319+164</f>
        <v>1001</v>
      </c>
      <c r="L319" s="9">
        <v>4738</v>
      </c>
      <c r="M319" s="9">
        <f t="shared" si="49"/>
        <v>4738</v>
      </c>
    </row>
    <row r="320" spans="1:15">
      <c r="A320" s="13" t="s">
        <v>439</v>
      </c>
      <c r="B320" s="60" t="s">
        <v>440</v>
      </c>
      <c r="C320" s="14">
        <f>67.8+0.5</f>
        <v>68.3</v>
      </c>
      <c r="F320" s="15">
        <v>277</v>
      </c>
      <c r="G320" s="15">
        <f>F320-115</f>
        <v>162</v>
      </c>
      <c r="H320" s="15">
        <f>F320+115</f>
        <v>392</v>
      </c>
      <c r="I320" s="15">
        <v>277</v>
      </c>
      <c r="J320" s="15">
        <f>I320-115</f>
        <v>162</v>
      </c>
      <c r="K320" s="15">
        <f>I320+115</f>
        <v>392</v>
      </c>
      <c r="L320" s="9">
        <f>AVERAGE(2685,1986,3034,3384,2405)</f>
        <v>2698.8</v>
      </c>
      <c r="M320" s="9">
        <f t="shared" si="49"/>
        <v>2698.8</v>
      </c>
    </row>
    <row r="321" spans="1:13">
      <c r="A321" s="13" t="s">
        <v>441</v>
      </c>
      <c r="B321" s="60" t="s">
        <v>442</v>
      </c>
      <c r="C321" s="14">
        <v>52.81</v>
      </c>
      <c r="D321" s="14">
        <f>C321+0.1</f>
        <v>52.910000000000004</v>
      </c>
      <c r="E321" s="14">
        <f>C321-0.1</f>
        <v>52.71</v>
      </c>
      <c r="F321" s="15">
        <v>400</v>
      </c>
      <c r="G321" s="15">
        <v>275</v>
      </c>
      <c r="H321" s="15">
        <v>530</v>
      </c>
      <c r="I321" s="15">
        <v>400</v>
      </c>
      <c r="J321" s="15">
        <v>275</v>
      </c>
      <c r="K321" s="15">
        <v>530</v>
      </c>
    </row>
    <row r="322" spans="1:13">
      <c r="A322" s="13" t="s">
        <v>441</v>
      </c>
      <c r="B322" s="60" t="s">
        <v>442</v>
      </c>
      <c r="C322" s="14">
        <v>52.57</v>
      </c>
      <c r="D322" s="14">
        <f t="shared" ref="D322:D325" si="50">C322+0.1</f>
        <v>52.67</v>
      </c>
      <c r="E322" s="14">
        <f t="shared" ref="E322:E325" si="51">C322-0.1</f>
        <v>52.47</v>
      </c>
      <c r="F322" s="15">
        <v>750</v>
      </c>
      <c r="G322" s="15">
        <v>630</v>
      </c>
      <c r="H322" s="15">
        <v>880</v>
      </c>
      <c r="I322" s="15">
        <v>750</v>
      </c>
      <c r="J322" s="15">
        <v>630</v>
      </c>
      <c r="K322" s="15">
        <v>880</v>
      </c>
    </row>
    <row r="323" spans="1:13">
      <c r="A323" s="13" t="s">
        <v>441</v>
      </c>
      <c r="B323" s="60" t="s">
        <v>442</v>
      </c>
      <c r="C323" s="14">
        <v>51.9</v>
      </c>
      <c r="D323" s="14">
        <f t="shared" si="50"/>
        <v>52</v>
      </c>
      <c r="E323" s="14">
        <f t="shared" si="51"/>
        <v>51.8</v>
      </c>
      <c r="F323" s="15">
        <v>1260</v>
      </c>
      <c r="G323" s="15">
        <v>1075</v>
      </c>
      <c r="H323" s="15">
        <v>1440</v>
      </c>
      <c r="I323" s="15">
        <v>1260</v>
      </c>
      <c r="J323" s="15">
        <v>1075</v>
      </c>
      <c r="K323" s="15">
        <v>1440</v>
      </c>
    </row>
    <row r="324" spans="1:13">
      <c r="A324" s="13" t="s">
        <v>441</v>
      </c>
      <c r="B324" s="60" t="s">
        <v>442</v>
      </c>
      <c r="C324" s="14">
        <v>51.84</v>
      </c>
      <c r="D324" s="14">
        <f t="shared" si="50"/>
        <v>51.940000000000005</v>
      </c>
      <c r="E324" s="14">
        <f t="shared" si="51"/>
        <v>51.74</v>
      </c>
      <c r="F324" s="15">
        <v>1210</v>
      </c>
      <c r="G324" s="15">
        <v>1030</v>
      </c>
      <c r="H324" s="15">
        <v>1400</v>
      </c>
      <c r="I324" s="15">
        <v>1210</v>
      </c>
      <c r="J324" s="15">
        <v>1030</v>
      </c>
      <c r="K324" s="15">
        <v>1400</v>
      </c>
    </row>
    <row r="325" spans="1:13">
      <c r="A325" s="13" t="s">
        <v>441</v>
      </c>
      <c r="B325" s="60" t="s">
        <v>442</v>
      </c>
      <c r="C325" s="14">
        <v>51.14</v>
      </c>
      <c r="D325" s="14">
        <f t="shared" si="50"/>
        <v>51.24</v>
      </c>
      <c r="E325" s="14">
        <f t="shared" si="51"/>
        <v>51.04</v>
      </c>
      <c r="F325" s="15">
        <v>725</v>
      </c>
      <c r="G325" s="15">
        <v>640</v>
      </c>
      <c r="H325" s="15">
        <v>800</v>
      </c>
      <c r="I325" s="15">
        <v>725</v>
      </c>
      <c r="J325" s="15">
        <v>640</v>
      </c>
      <c r="K325" s="15">
        <v>800</v>
      </c>
    </row>
    <row r="326" spans="1:13">
      <c r="A326" s="13" t="s">
        <v>453</v>
      </c>
      <c r="B326" s="60" t="s">
        <v>454</v>
      </c>
      <c r="C326" s="15">
        <f>AVERAGE(D326:E326)</f>
        <v>135.65</v>
      </c>
      <c r="D326" s="15">
        <v>145</v>
      </c>
      <c r="E326" s="15">
        <v>126.3</v>
      </c>
      <c r="F326" s="15">
        <f>AVERAGE(G326:H326)</f>
        <v>1711</v>
      </c>
      <c r="G326" s="15">
        <v>1226</v>
      </c>
      <c r="H326" s="15">
        <v>2196</v>
      </c>
      <c r="I326" s="15">
        <f>AVERAGE(J326:K326)</f>
        <v>1711</v>
      </c>
      <c r="J326" s="15">
        <v>1226</v>
      </c>
      <c r="K326" s="15">
        <v>2196</v>
      </c>
      <c r="L326" s="15">
        <v>5000</v>
      </c>
      <c r="M326" s="15">
        <v>5000</v>
      </c>
    </row>
    <row r="327" spans="1:13">
      <c r="C327" s="9"/>
    </row>
    <row r="328" spans="1:13">
      <c r="C328" s="9"/>
    </row>
    <row r="329" spans="1:13">
      <c r="C329" s="9"/>
    </row>
    <row r="330" spans="1:13">
      <c r="C330" s="9"/>
    </row>
    <row r="331" spans="1:13">
      <c r="C331" s="9"/>
    </row>
    <row r="332" spans="1:13">
      <c r="C332" s="9"/>
    </row>
    <row r="333" spans="1:13">
      <c r="C333" s="9"/>
    </row>
    <row r="334" spans="1:13">
      <c r="C334" s="9"/>
    </row>
    <row r="335" spans="1:13">
      <c r="C335" s="9"/>
    </row>
    <row r="336" spans="1:13">
      <c r="C336" s="9"/>
    </row>
    <row r="337" spans="3:3">
      <c r="C337" s="9"/>
    </row>
    <row r="338" spans="3:3">
      <c r="C338" s="9"/>
    </row>
    <row r="339" spans="3:3">
      <c r="C339" s="9"/>
    </row>
    <row r="340" spans="3:3">
      <c r="C340" s="9"/>
    </row>
    <row r="341" spans="3:3">
      <c r="C341" s="9"/>
    </row>
    <row r="342" spans="3:3">
      <c r="C342" s="9"/>
    </row>
    <row r="343" spans="3:3">
      <c r="C343" s="9"/>
    </row>
    <row r="344" spans="3:3">
      <c r="C344" s="9"/>
    </row>
    <row r="345" spans="3:3">
      <c r="C345" s="9"/>
    </row>
    <row r="346" spans="3:3">
      <c r="C346" s="9"/>
    </row>
    <row r="347" spans="3:3">
      <c r="C347" s="9"/>
    </row>
    <row r="348" spans="3:3">
      <c r="C348" s="9"/>
    </row>
    <row r="349" spans="3:3">
      <c r="C349" s="9"/>
    </row>
    <row r="350" spans="3:3">
      <c r="C350" s="9"/>
    </row>
  </sheetData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 &amp; reference list</vt:lpstr>
      <vt:lpstr>proxy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Dana Royer</cp:lastModifiedBy>
  <cp:lastPrinted>2013-09-16T21:25:31Z</cp:lastPrinted>
  <dcterms:created xsi:type="dcterms:W3CDTF">2000-08-03T18:48:51Z</dcterms:created>
  <dcterms:modified xsi:type="dcterms:W3CDTF">2014-03-11T15:51:15Z</dcterms:modified>
</cp:coreProperties>
</file>